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7320" tabRatio="661" activeTab="3"/>
  </bookViews>
  <sheets>
    <sheet name="Equations" sheetId="1" r:id="rId1"/>
    <sheet name="Load profile" sheetId="2" r:id="rId2"/>
    <sheet name="Torque constant" sheetId="3" r:id="rId3"/>
    <sheet name="AmpHr needed" sheetId="4" r:id="rId4"/>
    <sheet name="Energy" sheetId="5" r:id="rId5"/>
    <sheet name="Motor" sheetId="6" r:id="rId6"/>
    <sheet name="Batteries" sheetId="7" r:id="rId7"/>
    <sheet name="Wire" sheetId="8" r:id="rId8"/>
  </sheets>
  <definedNames/>
  <calcPr fullCalcOnLoad="1"/>
</workbook>
</file>

<file path=xl/sharedStrings.xml><?xml version="1.0" encoding="utf-8"?>
<sst xmlns="http://schemas.openxmlformats.org/spreadsheetml/2006/main" count="589" uniqueCount="407">
  <si>
    <t>Speed</t>
  </si>
  <si>
    <t>Watt-hours</t>
  </si>
  <si>
    <t>Horiz</t>
  </si>
  <si>
    <t>Vertical</t>
  </si>
  <si>
    <t>Kg</t>
  </si>
  <si>
    <t>m</t>
  </si>
  <si>
    <t>joules</t>
  </si>
  <si>
    <t>D NiMH</t>
  </si>
  <si>
    <t>AA NiCad</t>
  </si>
  <si>
    <t>AA NiMH</t>
  </si>
  <si>
    <t>D NiCad</t>
  </si>
  <si>
    <t>marginx2</t>
  </si>
  <si>
    <t>CPU</t>
  </si>
  <si>
    <t>watts</t>
  </si>
  <si>
    <t>Hrs</t>
  </si>
  <si>
    <t>m/sec</t>
  </si>
  <si>
    <t>Total</t>
  </si>
  <si>
    <t>Height</t>
  </si>
  <si>
    <t>Frame</t>
  </si>
  <si>
    <t>Batteries</t>
  </si>
  <si>
    <t>Motors</t>
  </si>
  <si>
    <t>Electronics</t>
  </si>
  <si>
    <t>weight summary</t>
  </si>
  <si>
    <t>Weight Total</t>
  </si>
  <si>
    <t>Wheel inertia</t>
  </si>
  <si>
    <t>Wheels</t>
  </si>
  <si>
    <t>No. cells</t>
  </si>
  <si>
    <t>Volts</t>
  </si>
  <si>
    <t>battery pack weight</t>
  </si>
  <si>
    <t>voltage</t>
  </si>
  <si>
    <t>internal resistance</t>
  </si>
  <si>
    <t>Carbon Zinc</t>
  </si>
  <si>
    <t>type</t>
  </si>
  <si>
    <t>primary</t>
  </si>
  <si>
    <t>Alkaline</t>
  </si>
  <si>
    <t>secondary</t>
  </si>
  <si>
    <t>cell size</t>
  </si>
  <si>
    <t>AAA-D</t>
  </si>
  <si>
    <t>button</t>
  </si>
  <si>
    <t>Lithium manganese</t>
  </si>
  <si>
    <t>Zinc Air</t>
  </si>
  <si>
    <t>Silver oxide</t>
  </si>
  <si>
    <t>No</t>
  </si>
  <si>
    <t>Poor 5-10</t>
  </si>
  <si>
    <t>Yes 300-2000</t>
  </si>
  <si>
    <t>energy density Watt-hour/lb</t>
  </si>
  <si>
    <t>12 - 16</t>
  </si>
  <si>
    <t>150</t>
  </si>
  <si>
    <t>capacity</t>
  </si>
  <si>
    <t>150 mAH-7.4AH</t>
  </si>
  <si>
    <t>16 mAH-28AH</t>
  </si>
  <si>
    <t>35 mAH-210 mAH</t>
  </si>
  <si>
    <t>70 mAH-400 mAH</t>
  </si>
  <si>
    <t>discharge curve</t>
  </si>
  <si>
    <t>sloping</t>
  </si>
  <si>
    <t>Flat</t>
  </si>
  <si>
    <t>low</t>
  </si>
  <si>
    <t>NiCad AAA</t>
  </si>
  <si>
    <t xml:space="preserve">NiCad AA </t>
  </si>
  <si>
    <t>NiCad C</t>
  </si>
  <si>
    <t>NiCad D</t>
  </si>
  <si>
    <t>NiCad 9V</t>
  </si>
  <si>
    <t>180 mAH-220mAH</t>
  </si>
  <si>
    <t>500 mAH-650mAH</t>
  </si>
  <si>
    <t>1200 mAH-2500mAH</t>
  </si>
  <si>
    <t>4000 mAH-5000mAH</t>
  </si>
  <si>
    <t>80 mAH</t>
  </si>
  <si>
    <t>NiMH</t>
  </si>
  <si>
    <t>yes  400</t>
  </si>
  <si>
    <t>Li-ion</t>
  </si>
  <si>
    <t>yes 400</t>
  </si>
  <si>
    <t>NiMH AA</t>
  </si>
  <si>
    <t>NiMH AAA</t>
  </si>
  <si>
    <t>NiMH C</t>
  </si>
  <si>
    <t>NiMH D</t>
  </si>
  <si>
    <t>NiMH 9V</t>
  </si>
  <si>
    <t>2500mAH</t>
  </si>
  <si>
    <t>850mAH</t>
  </si>
  <si>
    <t>3500mAH</t>
  </si>
  <si>
    <t>11000mAH</t>
  </si>
  <si>
    <t>220mAH</t>
  </si>
  <si>
    <t>Battery Type</t>
  </si>
  <si>
    <t>NiCad</t>
  </si>
  <si>
    <t>SLA</t>
  </si>
  <si>
    <t>6-minute current Amps</t>
  </si>
  <si>
    <t>6-minute voltage Volts</t>
  </si>
  <si>
    <t>Rated capacity AHr</t>
  </si>
  <si>
    <t>6-minute capacity AHr</t>
  </si>
  <si>
    <t>Manufacture Par No</t>
  </si>
  <si>
    <t>PowerSonic PS-12180</t>
  </si>
  <si>
    <t>PowerSonic PS-12120</t>
  </si>
  <si>
    <t>Panasonic HHR650D</t>
  </si>
  <si>
    <t>Panasonic P440D</t>
  </si>
  <si>
    <t>Battery voltage</t>
  </si>
  <si>
    <t>12 (10 D cells)</t>
  </si>
  <si>
    <t>Internal resistance ohms</t>
  </si>
  <si>
    <t>Voltage loss = internal resistance * current draw</t>
  </si>
  <si>
    <t>C6min = 10*Kf*Cbat</t>
  </si>
  <si>
    <t>Cpeak =10*Cbat</t>
  </si>
  <si>
    <t>Rated max current Amps</t>
  </si>
  <si>
    <t>Voltage @ max current Volts</t>
  </si>
  <si>
    <t>Weight Kg</t>
  </si>
  <si>
    <t>Rated power density Ahr/Kg</t>
  </si>
  <si>
    <t>6-minute power density Ahr/Kg</t>
  </si>
  <si>
    <t>Test</t>
  </si>
  <si>
    <t>example</t>
  </si>
  <si>
    <t>Kt</t>
  </si>
  <si>
    <t>Fuse size</t>
  </si>
  <si>
    <t xml:space="preserve">No. of motors </t>
  </si>
  <si>
    <t>fuse size</t>
  </si>
  <si>
    <t>Run time</t>
  </si>
  <si>
    <t>values</t>
  </si>
  <si>
    <t>Sensors</t>
  </si>
  <si>
    <t>Amp-hours</t>
  </si>
  <si>
    <t>1/0</t>
  </si>
  <si>
    <t>2/0</t>
  </si>
  <si>
    <t>4/0</t>
  </si>
  <si>
    <t>1</t>
  </si>
  <si>
    <t>sec</t>
  </si>
  <si>
    <t>ft</t>
  </si>
  <si>
    <t>lb</t>
  </si>
  <si>
    <t>in-lb</t>
  </si>
  <si>
    <t xml:space="preserve">Stall  </t>
  </si>
  <si>
    <t>Amp-Hrs</t>
  </si>
  <si>
    <t>amp-hours</t>
  </si>
  <si>
    <t>No. of motors</t>
  </si>
  <si>
    <t>Load profile method</t>
  </si>
  <si>
    <t>Given run-time</t>
  </si>
  <si>
    <t>No. motors</t>
  </si>
  <si>
    <t>lb/motor =</t>
  </si>
  <si>
    <t>step 1</t>
  </si>
  <si>
    <t>step 2</t>
  </si>
  <si>
    <t>inches</t>
  </si>
  <si>
    <t>step 3</t>
  </si>
  <si>
    <t>gear ratio</t>
  </si>
  <si>
    <t>in-lb/motor</t>
  </si>
  <si>
    <t>step 4</t>
  </si>
  <si>
    <t>oz-in/amp</t>
  </si>
  <si>
    <t>oz-in per motor</t>
  </si>
  <si>
    <t>converted</t>
  </si>
  <si>
    <t>step 5</t>
  </si>
  <si>
    <t>get amps</t>
  </si>
  <si>
    <t>amps per motor</t>
  </si>
  <si>
    <t>step  6</t>
  </si>
  <si>
    <t>amps total</t>
  </si>
  <si>
    <t>step 7</t>
  </si>
  <si>
    <t>sizing a motor</t>
  </si>
  <si>
    <t>1 kg = 2.21 lb (mass)</t>
  </si>
  <si>
    <t>1 in = 2.54 cm</t>
  </si>
  <si>
    <t>1 Watt = 1 joule/sec</t>
  </si>
  <si>
    <t>Pe = V * I</t>
  </si>
  <si>
    <t>1 Amp = 1 Coulomb/sec</t>
  </si>
  <si>
    <t>1 Watt = 1 Volt * Amp = 1 Volt * Coulomb/sec</t>
  </si>
  <si>
    <t>Pm = T * w</t>
  </si>
  <si>
    <t>1 rev/sec = 2*pi rad/sec</t>
  </si>
  <si>
    <t>1 watt = 1 N * m / sec</t>
  </si>
  <si>
    <t>1 joule = 1 N * m = 1 C * V</t>
  </si>
  <si>
    <t>Pm = n * Pe</t>
  </si>
  <si>
    <t>v = L di/dt</t>
  </si>
  <si>
    <t>V = I * R + e</t>
  </si>
  <si>
    <t>n = efficiency factor</t>
  </si>
  <si>
    <t>w = rotational speed</t>
  </si>
  <si>
    <t>Electrical power</t>
  </si>
  <si>
    <t>Mechanical power</t>
  </si>
  <si>
    <t>Motor Model</t>
  </si>
  <si>
    <t>e = back-emf</t>
  </si>
  <si>
    <t>Is = V / R</t>
  </si>
  <si>
    <t>e = Ke * w</t>
  </si>
  <si>
    <t>V = I * R + Ke * w</t>
  </si>
  <si>
    <t>T = Kt * I</t>
  </si>
  <si>
    <t>V = (T * R)/Kt + Ke * w</t>
  </si>
  <si>
    <t>Pm = Pe - I^2 * R</t>
  </si>
  <si>
    <t>Tw = V * I - I^2 * R</t>
  </si>
  <si>
    <t>Kt * I * w = (I * R + Ke * w) * I - I^2 * R</t>
  </si>
  <si>
    <t>Kt = Ke = K</t>
  </si>
  <si>
    <t>V = (T * R)/K + K * w</t>
  </si>
  <si>
    <t>w = (- R / K^2) * T + V / K</t>
  </si>
  <si>
    <t xml:space="preserve">Speed - torque </t>
  </si>
  <si>
    <t>Pm = -(R/K^2)* T^2 + (V/R)*T</t>
  </si>
  <si>
    <t>wmax = V / K</t>
  </si>
  <si>
    <t>Ts = K * V / R</t>
  </si>
  <si>
    <t>dPm/dT = 0 = -2 * R * T / K^2 + V / K</t>
  </si>
  <si>
    <t>w = (-R / K^2)*(k * V)/(2*R) + V/K = V / (2 * K)</t>
  </si>
  <si>
    <t>w = wmax/2</t>
  </si>
  <si>
    <t>Pm = wmax*Tmax/4</t>
  </si>
  <si>
    <t>nmax = (1 - sqrt(Io/Is)^2</t>
  </si>
  <si>
    <t>F = m*a</t>
  </si>
  <si>
    <t>Fapp = Ff +Fw</t>
  </si>
  <si>
    <t>Ff = u*Fn = u*m*g*cos(theta)</t>
  </si>
  <si>
    <t>Fapp = u*m*g*cos(theta) + m*g*sin(theta)</t>
  </si>
  <si>
    <t>Pm = Fapp*v</t>
  </si>
  <si>
    <t xml:space="preserve">P/2 = T * w </t>
  </si>
  <si>
    <t>w = v / r</t>
  </si>
  <si>
    <t>t = E/P</t>
  </si>
  <si>
    <t>D = v * t</t>
  </si>
  <si>
    <t>battery voltage</t>
  </si>
  <si>
    <t>battery amp-hour</t>
  </si>
  <si>
    <t>joules = V * Ah*3600</t>
  </si>
  <si>
    <t>m/s</t>
  </si>
  <si>
    <t>ft/s</t>
  </si>
  <si>
    <t>degrees</t>
  </si>
  <si>
    <t>u coeff friction</t>
  </si>
  <si>
    <t>kg</t>
  </si>
  <si>
    <t>Watts/motor</t>
  </si>
  <si>
    <t>Io - no load current</t>
  </si>
  <si>
    <t>Ts - stall Torque</t>
  </si>
  <si>
    <t>Is - stall current</t>
  </si>
  <si>
    <r>
      <t xml:space="preserve">T = K * V / 2 * R = </t>
    </r>
    <r>
      <rPr>
        <b/>
        <sz val="10"/>
        <rFont val="Arial"/>
        <family val="2"/>
      </rPr>
      <t>Tmax/2</t>
    </r>
  </si>
  <si>
    <t>discharge rate (A)</t>
  </si>
  <si>
    <t>alkaline</t>
  </si>
  <si>
    <t>initial voltage</t>
  </si>
  <si>
    <t>final voltage</t>
  </si>
  <si>
    <t>ZnCl</t>
  </si>
  <si>
    <t>D cells Ah capacity as a function of discharge rate at 20 degree C</t>
  </si>
  <si>
    <t>energy density</t>
  </si>
  <si>
    <t>Wh/cc</t>
  </si>
  <si>
    <t>Fuel cell</t>
  </si>
  <si>
    <t>Gasoline</t>
  </si>
  <si>
    <t>0.03 - 11</t>
  </si>
  <si>
    <t>9.5</t>
  </si>
  <si>
    <t>Battery cell types</t>
  </si>
  <si>
    <t>outside dimensions</t>
  </si>
  <si>
    <t>volume (cc)</t>
  </si>
  <si>
    <t>Volume ratio with D cell</t>
  </si>
  <si>
    <t>AAA</t>
  </si>
  <si>
    <t xml:space="preserve">AA </t>
  </si>
  <si>
    <t>C</t>
  </si>
  <si>
    <t>D</t>
  </si>
  <si>
    <t>9 Volt</t>
  </si>
  <si>
    <t>1 cm dia x 4.2 cm</t>
  </si>
  <si>
    <t>1.4 cm dia. X 4.7 cm</t>
  </si>
  <si>
    <t>2.5 cm dia. X 4.6 cm</t>
  </si>
  <si>
    <t>3.3 cm dia x 5.7 cm</t>
  </si>
  <si>
    <t>1.7 x 2.5 x 4.5 cm</t>
  </si>
  <si>
    <t>alkaline grams</t>
  </si>
  <si>
    <t>ZnCl grams</t>
  </si>
  <si>
    <t>SLA grams</t>
  </si>
  <si>
    <t>NiCad ohms</t>
  </si>
  <si>
    <t>alkaline ohms</t>
  </si>
  <si>
    <t>ZnCl ohms</t>
  </si>
  <si>
    <t>SLA ohms</t>
  </si>
  <si>
    <t>Lithium ohms</t>
  </si>
  <si>
    <t>A C D</t>
  </si>
  <si>
    <t>Battery chemistry</t>
  </si>
  <si>
    <t>yes 1000</t>
  </si>
  <si>
    <t>Rechargeable No cycles</t>
  </si>
  <si>
    <t>250 mAH-10AH</t>
  </si>
  <si>
    <t>.1</t>
  </si>
  <si>
    <t>comment</t>
  </si>
  <si>
    <t>most common primary</t>
  </si>
  <si>
    <t>60mAH-6AH</t>
  </si>
  <si>
    <t>inexpensive but obsolete</t>
  </si>
  <si>
    <t>4.5 - 1588</t>
  </si>
  <si>
    <t>6010</t>
  </si>
  <si>
    <t>Wh/lb</t>
  </si>
  <si>
    <t>18</t>
  </si>
  <si>
    <t>30 - 59</t>
  </si>
  <si>
    <t>20-34</t>
  </si>
  <si>
    <t>15 - 136</t>
  </si>
  <si>
    <t>70 mAH-1.4AH</t>
  </si>
  <si>
    <t>.3</t>
  </si>
  <si>
    <t>.2</t>
  </si>
  <si>
    <t>Mercuric oxide</t>
  </si>
  <si>
    <t>Zinc Chloride</t>
  </si>
  <si>
    <t>NiCad grams</t>
  </si>
  <si>
    <t>10</t>
  </si>
  <si>
    <t>50-59</t>
  </si>
  <si>
    <t>50-54</t>
  </si>
  <si>
    <t>excellent energy density</t>
  </si>
  <si>
    <t xml:space="preserve"> C D other</t>
  </si>
  <si>
    <t>120 Ah</t>
  </si>
  <si>
    <t>.006</t>
  </si>
  <si>
    <t>1.5</t>
  </si>
  <si>
    <t>.04</t>
  </si>
  <si>
    <t>.06</t>
  </si>
  <si>
    <t>.05</t>
  </si>
  <si>
    <t>9 V</t>
  </si>
  <si>
    <t>26</t>
  </si>
  <si>
    <t>low internal resistance, available</t>
  </si>
  <si>
    <t>better energy density than NiCad</t>
  </si>
  <si>
    <t>600</t>
  </si>
  <si>
    <t>Kf Multiplier</t>
  </si>
  <si>
    <t>high energy density not widely available</t>
  </si>
  <si>
    <t>nmax  maximum efficiency</t>
  </si>
  <si>
    <t>radians</t>
  </si>
  <si>
    <t>Energy</t>
  </si>
  <si>
    <t>Is  stall current</t>
  </si>
  <si>
    <t>wmax - RPM no-load</t>
  </si>
  <si>
    <t>Minimum wire AWG gage</t>
  </si>
  <si>
    <t>Resistance 1000ft</t>
  </si>
  <si>
    <t>22</t>
  </si>
  <si>
    <t>24</t>
  </si>
  <si>
    <t>28</t>
  </si>
  <si>
    <t>32</t>
  </si>
  <si>
    <t>Max Current Amps solid copper wire</t>
  </si>
  <si>
    <t xml:space="preserve">Goal determine power needed given Motor &amp; peformance </t>
  </si>
  <si>
    <t>requirements</t>
  </si>
  <si>
    <t>Cell Volts</t>
  </si>
  <si>
    <t>Cell weight</t>
  </si>
  <si>
    <t>Needed voltages</t>
  </si>
  <si>
    <t>Totals requirement</t>
  </si>
  <si>
    <t>Amp-Hours</t>
  </si>
  <si>
    <t>Primary Batteries attributes</t>
  </si>
  <si>
    <t>9V alkaline</t>
  </si>
  <si>
    <t>1.5V alkaline</t>
  </si>
  <si>
    <t>Mercury</t>
  </si>
  <si>
    <t>Silver</t>
  </si>
  <si>
    <t>Lithium</t>
  </si>
  <si>
    <t>Properties</t>
  </si>
  <si>
    <t>Inexpensive</t>
  </si>
  <si>
    <t>Available</t>
  </si>
  <si>
    <t>Wide Temp. Range</t>
  </si>
  <si>
    <t>Stable Voltage</t>
  </si>
  <si>
    <t>Reliable contacts</t>
  </si>
  <si>
    <t>Godd at high currents</t>
  </si>
  <si>
    <t>Long shelf life</t>
  </si>
  <si>
    <t>Applications</t>
  </si>
  <si>
    <t>Linear circuits</t>
  </si>
  <si>
    <t>Low voltage CMOS</t>
  </si>
  <si>
    <t>4000-series CMOS</t>
  </si>
  <si>
    <t>CMOS backup</t>
  </si>
  <si>
    <t>X</t>
  </si>
  <si>
    <t xml:space="preserve"> </t>
  </si>
  <si>
    <t>Minature</t>
  </si>
  <si>
    <t>oz-in</t>
  </si>
  <si>
    <t>hours</t>
  </si>
  <si>
    <t>Units</t>
  </si>
  <si>
    <t>Cruising</t>
  </si>
  <si>
    <t>Accelerating</t>
  </si>
  <si>
    <t>Pushing</t>
  </si>
  <si>
    <t>Stopped</t>
  </si>
  <si>
    <t>Total battery capacity</t>
  </si>
  <si>
    <t>Amp-sec</t>
  </si>
  <si>
    <t>Amp-hrs</t>
  </si>
  <si>
    <t>1 motor total</t>
  </si>
  <si>
    <t>Safety factor</t>
  </si>
  <si>
    <t>Runtime</t>
  </si>
  <si>
    <t>Safety factor adj</t>
  </si>
  <si>
    <t>Total amps</t>
  </si>
  <si>
    <t>.018 - .036</t>
  </si>
  <si>
    <t>3</t>
  </si>
  <si>
    <t>.048</t>
  </si>
  <si>
    <t>.02</t>
  </si>
  <si>
    <t>Pm = Fapp*v = m*g*(u*cos(theta)+sin(theta))*v</t>
  </si>
  <si>
    <t>1N = 1 kg-m/Sec^2 = 0.2248 lb</t>
  </si>
  <si>
    <t>1 joule = 1 newton</t>
  </si>
  <si>
    <t>1 joule = 2.78e-4 watts*hr</t>
  </si>
  <si>
    <t>1 watt = 84.5 in-lbf-RPM</t>
  </si>
  <si>
    <t>1 lbf = 16 oz = 0.4536 kg = 4.448 N</t>
  </si>
  <si>
    <t>1 RPM = 6 degree/sec = 0.1047 rad/sec</t>
  </si>
  <si>
    <t>force applied =  force roll back  + normal force</t>
  </si>
  <si>
    <t>force due to gravity an friction to roll back down</t>
  </si>
  <si>
    <t>force of gravity acting on robot mass</t>
  </si>
  <si>
    <t>Fw = m*g = m*g*sin(theta)</t>
  </si>
  <si>
    <t>Power required is the product of the force applied times the velocity</t>
  </si>
  <si>
    <t>Selecting a motor</t>
  </si>
  <si>
    <t>velocity divided by wheel radius gives us omega</t>
  </si>
  <si>
    <t>The torque times omega gives the power</t>
  </si>
  <si>
    <t>E joules of energy in the battery, t the time, P = power</t>
  </si>
  <si>
    <t>D = distance traveled, v = velocity, t the time</t>
  </si>
  <si>
    <t xml:space="preserve">ft </t>
  </si>
  <si>
    <t>Power required</t>
  </si>
  <si>
    <t>watts-sec</t>
  </si>
  <si>
    <t>Given Battery calc the range &amp; runtime</t>
  </si>
  <si>
    <t>1 watt = 0.7376 ft-lbf/sec = 106.2 oz-in/sec</t>
  </si>
  <si>
    <t>Wheel weight -  inertia</t>
  </si>
  <si>
    <t>Motor voltages</t>
  </si>
  <si>
    <t>How many Amp-Hours</t>
  </si>
  <si>
    <t>Vertical Watt-hours</t>
  </si>
  <si>
    <t>Horiz. Watt-hours</t>
  </si>
  <si>
    <t>Values</t>
  </si>
  <si>
    <t>Metric</t>
  </si>
  <si>
    <t>Joules</t>
  </si>
  <si>
    <t>Safety margin</t>
  </si>
  <si>
    <t xml:space="preserve">Watts </t>
  </si>
  <si>
    <t>Watts</t>
  </si>
  <si>
    <t xml:space="preserve">mass of robot </t>
  </si>
  <si>
    <t xml:space="preserve">velocity </t>
  </si>
  <si>
    <t>climb grade</t>
  </si>
  <si>
    <t>Pm = m*g*(u*cos(theta)+sin(theta))*v</t>
  </si>
  <si>
    <t>Watt-hour</t>
  </si>
  <si>
    <t>Total W/margin</t>
  </si>
  <si>
    <t>Total watt-hour</t>
  </si>
  <si>
    <t>Total amp-hour</t>
  </si>
  <si>
    <t>Total watts</t>
  </si>
  <si>
    <t xml:space="preserve">Safety factor  </t>
  </si>
  <si>
    <t>Result safety factor</t>
  </si>
  <si>
    <t>Input</t>
  </si>
  <si>
    <t>Interm Calc result</t>
  </si>
  <si>
    <t>Result</t>
  </si>
  <si>
    <t>Total/motor</t>
  </si>
  <si>
    <t>Motors Amps</t>
  </si>
  <si>
    <t>Total watts with Safety factor</t>
  </si>
  <si>
    <t>Motor Torque constant Kt</t>
  </si>
  <si>
    <t>Wheel radius</t>
  </si>
  <si>
    <t xml:space="preserve">Climb grade </t>
  </si>
  <si>
    <t xml:space="preserve">Velocity </t>
  </si>
  <si>
    <t xml:space="preserve">Mass of robot </t>
  </si>
  <si>
    <t>Max Duration of event</t>
  </si>
  <si>
    <t>Max Distance</t>
  </si>
  <si>
    <t>Measured Amps @ mode</t>
  </si>
  <si>
    <t>Operation mode</t>
  </si>
  <si>
    <t>Estimated Time (sec) in mode</t>
  </si>
  <si>
    <t>Weight of robot</t>
  </si>
  <si>
    <t>Torque required</t>
  </si>
  <si>
    <t>Torque required/motor</t>
  </si>
  <si>
    <t>Select battery type (uses row 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</si>
</sst>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0" fillId="0" borderId="9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 cells Ah capacities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Batteries!$B$13</c:f>
              <c:strCache>
                <c:ptCount val="1"/>
                <c:pt idx="0">
                  <c:v>NiCad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Batteries!$B$14:$B$16</c:f>
              <c:numCache/>
            </c:numRef>
          </c:val>
          <c:smooth val="0"/>
        </c:ser>
        <c:ser>
          <c:idx val="1"/>
          <c:order val="1"/>
          <c:tx>
            <c:strRef>
              <c:f>Batteries!$C$13</c:f>
              <c:strCache>
                <c:ptCount val="1"/>
                <c:pt idx="0">
                  <c:v>alkaline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Batteries!$C$14:$C$16</c:f>
              <c:numCache/>
            </c:numRef>
          </c:val>
          <c:smooth val="0"/>
        </c:ser>
        <c:ser>
          <c:idx val="2"/>
          <c:order val="2"/>
          <c:tx>
            <c:strRef>
              <c:f>Batteries!$D$13</c:f>
              <c:strCache>
                <c:ptCount val="1"/>
                <c:pt idx="0">
                  <c:v>ZnCl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Batteries!$D$14:$D$16</c:f>
              <c:numCache/>
            </c:numRef>
          </c:val>
          <c:smooth val="0"/>
        </c:ser>
        <c:ser>
          <c:idx val="3"/>
          <c:order val="3"/>
          <c:tx>
            <c:strRef>
              <c:f>Batteries!$E$13</c:f>
              <c:strCache>
                <c:ptCount val="1"/>
                <c:pt idx="0">
                  <c:v>SLA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Batteries!$E$14:$E$16</c:f>
              <c:numCache/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Discharge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Ah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9</xdr:row>
      <xdr:rowOff>114300</xdr:rowOff>
    </xdr:from>
    <xdr:to>
      <xdr:col>15</xdr:col>
      <xdr:colOff>180975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629150" y="2057400"/>
        <a:ext cx="70008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28">
      <selection activeCell="F7" sqref="F7"/>
    </sheetView>
  </sheetViews>
  <sheetFormatPr defaultColWidth="9.140625" defaultRowHeight="12.75"/>
  <sheetData>
    <row r="1" ht="12.75">
      <c r="A1" t="s">
        <v>146</v>
      </c>
    </row>
    <row r="2" ht="12.75">
      <c r="A2" t="s">
        <v>285</v>
      </c>
    </row>
    <row r="3" ht="12.75">
      <c r="A3" t="s">
        <v>344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345</v>
      </c>
    </row>
    <row r="8" ht="12.75">
      <c r="A8" t="s">
        <v>346</v>
      </c>
    </row>
    <row r="9" ht="12.75">
      <c r="A9" t="s">
        <v>364</v>
      </c>
    </row>
    <row r="10" ht="12.75">
      <c r="A10" t="s">
        <v>347</v>
      </c>
    </row>
    <row r="11" ht="12.75">
      <c r="A11" t="s">
        <v>348</v>
      </c>
    </row>
    <row r="12" ht="12.75">
      <c r="A12" t="s">
        <v>349</v>
      </c>
    </row>
    <row r="14" ht="12.75">
      <c r="A14" t="s">
        <v>162</v>
      </c>
    </row>
    <row r="15" ht="12.75">
      <c r="A15" t="s">
        <v>150</v>
      </c>
    </row>
    <row r="16" ht="12.75">
      <c r="A16" t="s">
        <v>151</v>
      </c>
    </row>
    <row r="17" ht="12.75">
      <c r="A17" t="s">
        <v>152</v>
      </c>
    </row>
    <row r="19" ht="12.75">
      <c r="A19" t="s">
        <v>163</v>
      </c>
    </row>
    <row r="20" ht="12.75">
      <c r="A20" t="s">
        <v>153</v>
      </c>
    </row>
    <row r="21" ht="12.75">
      <c r="A21" t="s">
        <v>161</v>
      </c>
    </row>
    <row r="22" ht="12.75">
      <c r="A22" t="s">
        <v>154</v>
      </c>
    </row>
    <row r="23" ht="12.75">
      <c r="A23" t="s">
        <v>155</v>
      </c>
    </row>
    <row r="24" ht="12.75">
      <c r="A24" t="s">
        <v>156</v>
      </c>
    </row>
    <row r="26" ht="12.75">
      <c r="A26" t="s">
        <v>164</v>
      </c>
    </row>
    <row r="27" ht="12.75">
      <c r="A27" t="s">
        <v>157</v>
      </c>
    </row>
    <row r="28" ht="12.75">
      <c r="A28" t="s">
        <v>160</v>
      </c>
    </row>
    <row r="29" ht="12.75">
      <c r="A29" t="s">
        <v>158</v>
      </c>
    </row>
    <row r="30" ht="12.75">
      <c r="A30" t="s">
        <v>159</v>
      </c>
    </row>
    <row r="31" ht="12.75">
      <c r="A31" t="s">
        <v>165</v>
      </c>
    </row>
    <row r="32" ht="12.75">
      <c r="A32" t="s">
        <v>166</v>
      </c>
    </row>
    <row r="33" ht="12.75">
      <c r="A33" t="s">
        <v>286</v>
      </c>
    </row>
    <row r="34" ht="12.75">
      <c r="A34" t="s">
        <v>167</v>
      </c>
    </row>
    <row r="35" ht="12.75">
      <c r="A35" t="s">
        <v>168</v>
      </c>
    </row>
    <row r="36" ht="12.75">
      <c r="A36" t="s">
        <v>169</v>
      </c>
    </row>
    <row r="37" ht="12.75">
      <c r="A37" t="s">
        <v>170</v>
      </c>
    </row>
    <row r="38" ht="12.75">
      <c r="A38" t="s">
        <v>171</v>
      </c>
    </row>
    <row r="39" ht="12.75">
      <c r="A39" t="s">
        <v>172</v>
      </c>
    </row>
    <row r="40" ht="12.75">
      <c r="A40" t="s">
        <v>173</v>
      </c>
    </row>
    <row r="41" ht="12.75">
      <c r="A41" t="s">
        <v>174</v>
      </c>
    </row>
    <row r="42" ht="12.75">
      <c r="A42" t="s">
        <v>175</v>
      </c>
    </row>
    <row r="43" ht="12.75">
      <c r="A43" t="s">
        <v>176</v>
      </c>
    </row>
    <row r="45" ht="12.75">
      <c r="A45" t="s">
        <v>177</v>
      </c>
    </row>
    <row r="46" spans="1:3" ht="12.75">
      <c r="A46" t="s">
        <v>153</v>
      </c>
      <c r="C46" t="s">
        <v>287</v>
      </c>
    </row>
    <row r="47" spans="1:3" ht="12.75">
      <c r="A47" t="s">
        <v>178</v>
      </c>
      <c r="C47" t="s">
        <v>204</v>
      </c>
    </row>
    <row r="48" spans="1:3" ht="12.75">
      <c r="A48" t="s">
        <v>179</v>
      </c>
      <c r="C48" t="s">
        <v>205</v>
      </c>
    </row>
    <row r="49" spans="1:3" ht="12.75">
      <c r="A49" t="s">
        <v>180</v>
      </c>
      <c r="C49" t="s">
        <v>206</v>
      </c>
    </row>
    <row r="50" ht="12.75">
      <c r="A50" t="s">
        <v>181</v>
      </c>
    </row>
    <row r="51" ht="12.75">
      <c r="A51" t="s">
        <v>207</v>
      </c>
    </row>
    <row r="52" ht="12.75">
      <c r="A52" t="s">
        <v>182</v>
      </c>
    </row>
    <row r="53" ht="12.75">
      <c r="A53" s="25" t="s">
        <v>183</v>
      </c>
    </row>
    <row r="54" ht="12.75">
      <c r="A54" t="s">
        <v>184</v>
      </c>
    </row>
    <row r="55" spans="1:3" ht="12.75">
      <c r="A55" t="s">
        <v>185</v>
      </c>
      <c r="C55" t="s">
        <v>283</v>
      </c>
    </row>
    <row r="57" ht="12.75">
      <c r="A57" t="s">
        <v>186</v>
      </c>
    </row>
    <row r="58" spans="1:3" ht="12.75">
      <c r="A58" t="s">
        <v>353</v>
      </c>
      <c r="C58" t="s">
        <v>352</v>
      </c>
    </row>
    <row r="59" spans="1:3" ht="12.75">
      <c r="A59" t="s">
        <v>188</v>
      </c>
      <c r="C59" t="s">
        <v>351</v>
      </c>
    </row>
    <row r="60" spans="1:3" ht="12.75">
      <c r="A60" t="s">
        <v>187</v>
      </c>
      <c r="C60" t="s">
        <v>350</v>
      </c>
    </row>
    <row r="61" ht="12.75">
      <c r="A61" t="s">
        <v>189</v>
      </c>
    </row>
    <row r="62" spans="1:3" ht="13.5" customHeight="1">
      <c r="A62" t="s">
        <v>190</v>
      </c>
      <c r="C62" t="s">
        <v>354</v>
      </c>
    </row>
    <row r="63" spans="1:3" ht="12.75">
      <c r="A63" t="s">
        <v>192</v>
      </c>
      <c r="C63" t="s">
        <v>356</v>
      </c>
    </row>
    <row r="64" spans="1:3" ht="12.75">
      <c r="A64" t="s">
        <v>191</v>
      </c>
      <c r="C64" t="s">
        <v>357</v>
      </c>
    </row>
    <row r="65" spans="1:3" ht="12.75">
      <c r="A65" t="s">
        <v>194</v>
      </c>
      <c r="C65" t="s">
        <v>359</v>
      </c>
    </row>
    <row r="66" spans="1:3" ht="12.75">
      <c r="A66" t="s">
        <v>193</v>
      </c>
      <c r="C66" t="s">
        <v>358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6" sqref="B26"/>
    </sheetView>
  </sheetViews>
  <sheetFormatPr defaultColWidth="9.140625" defaultRowHeight="12.75"/>
  <cols>
    <col min="1" max="1" width="20.00390625" style="0" bestFit="1" customWidth="1"/>
    <col min="2" max="2" width="12.8515625" style="0" bestFit="1" customWidth="1"/>
    <col min="3" max="3" width="11.00390625" style="0" bestFit="1" customWidth="1"/>
    <col min="4" max="4" width="8.140625" style="0" bestFit="1" customWidth="1"/>
    <col min="5" max="5" width="8.00390625" style="0" bestFit="1" customWidth="1"/>
    <col min="6" max="6" width="8.28125" style="0" bestFit="1" customWidth="1"/>
    <col min="8" max="8" width="15.7109375" style="0" bestFit="1" customWidth="1"/>
  </cols>
  <sheetData>
    <row r="1" spans="1:6" ht="12.75">
      <c r="A1" s="6" t="s">
        <v>126</v>
      </c>
      <c r="B1" s="6"/>
      <c r="C1" s="6"/>
      <c r="D1" s="23"/>
      <c r="E1" s="23"/>
      <c r="F1" s="23"/>
    </row>
    <row r="2" spans="1:6" ht="12.75">
      <c r="A2" s="6" t="s">
        <v>125</v>
      </c>
      <c r="B2" s="9">
        <v>2</v>
      </c>
      <c r="C2" s="6"/>
      <c r="D2" s="23"/>
      <c r="E2" s="23"/>
      <c r="F2" s="23"/>
    </row>
    <row r="3" spans="1:6" ht="12.75">
      <c r="A3" s="6"/>
      <c r="B3" s="6" t="s">
        <v>127</v>
      </c>
      <c r="C3" s="24"/>
      <c r="D3" s="23"/>
      <c r="E3" s="23"/>
      <c r="F3" s="23"/>
    </row>
    <row r="4" spans="1:6" ht="12.75">
      <c r="A4" s="6" t="s">
        <v>300</v>
      </c>
      <c r="B4" s="50">
        <v>360</v>
      </c>
      <c r="C4" s="24"/>
      <c r="D4" s="6"/>
      <c r="E4" s="23"/>
      <c r="F4" s="23"/>
    </row>
    <row r="5" spans="1:6" s="1" customFormat="1" ht="38.25">
      <c r="A5" s="4" t="s">
        <v>401</v>
      </c>
      <c r="B5" s="22" t="s">
        <v>402</v>
      </c>
      <c r="C5" s="22" t="s">
        <v>400</v>
      </c>
      <c r="D5" s="22" t="s">
        <v>332</v>
      </c>
      <c r="E5" s="22" t="s">
        <v>333</v>
      </c>
      <c r="F5" s="22"/>
    </row>
    <row r="6" spans="1:6" ht="12.75">
      <c r="A6" s="6" t="s">
        <v>327</v>
      </c>
      <c r="B6" s="50">
        <v>180</v>
      </c>
      <c r="C6" s="65">
        <v>0.039</v>
      </c>
      <c r="D6" s="51">
        <f>B6*C6</f>
        <v>7.02</v>
      </c>
      <c r="E6" s="51">
        <f aca="true" t="shared" si="0" ref="E6:E11">D6/3600</f>
        <v>0.00195</v>
      </c>
      <c r="F6" s="23"/>
    </row>
    <row r="7" spans="1:6" ht="12.75">
      <c r="A7" s="6" t="s">
        <v>328</v>
      </c>
      <c r="B7" s="50">
        <v>60</v>
      </c>
      <c r="C7" s="65">
        <v>0.1022</v>
      </c>
      <c r="D7" s="51">
        <f>B7*C7</f>
        <v>6.132</v>
      </c>
      <c r="E7" s="51">
        <f t="shared" si="0"/>
        <v>0.0017033333333333332</v>
      </c>
      <c r="F7" s="23"/>
    </row>
    <row r="8" spans="1:6" ht="12.75">
      <c r="A8" s="6" t="s">
        <v>329</v>
      </c>
      <c r="B8" s="50">
        <v>70</v>
      </c>
      <c r="C8" s="65">
        <v>0.2043</v>
      </c>
      <c r="D8" s="51">
        <f>B8*C8</f>
        <v>14.301</v>
      </c>
      <c r="E8" s="51">
        <f t="shared" si="0"/>
        <v>0.0039725</v>
      </c>
      <c r="F8" s="23"/>
    </row>
    <row r="9" spans="1:6" ht="12.75">
      <c r="A9" s="6" t="s">
        <v>122</v>
      </c>
      <c r="B9" s="50">
        <v>20</v>
      </c>
      <c r="C9" s="65">
        <v>0.6</v>
      </c>
      <c r="D9" s="51">
        <f>B9*C9</f>
        <v>12</v>
      </c>
      <c r="E9" s="51">
        <f t="shared" si="0"/>
        <v>0.0033333333333333335</v>
      </c>
      <c r="F9" s="23"/>
    </row>
    <row r="10" spans="1:8" ht="12.75">
      <c r="A10" s="6" t="s">
        <v>330</v>
      </c>
      <c r="B10" s="50">
        <v>30</v>
      </c>
      <c r="C10" s="65">
        <v>0.01</v>
      </c>
      <c r="D10" s="51">
        <f>B10*C10</f>
        <v>0.3</v>
      </c>
      <c r="E10" s="51">
        <f t="shared" si="0"/>
        <v>8.333333333333333E-05</v>
      </c>
      <c r="F10" s="23"/>
      <c r="H10" s="9" t="s">
        <v>387</v>
      </c>
    </row>
    <row r="11" spans="1:8" ht="12.75">
      <c r="A11" s="6" t="s">
        <v>334</v>
      </c>
      <c r="B11" s="51">
        <f>SUM(B6:B10)</f>
        <v>360</v>
      </c>
      <c r="C11" s="66">
        <f>SUM(C6:C10)</f>
        <v>0.9555</v>
      </c>
      <c r="D11" s="51">
        <f>SUM(D6:D10)</f>
        <v>39.753</v>
      </c>
      <c r="E11" s="51">
        <f t="shared" si="0"/>
        <v>0.0110425</v>
      </c>
      <c r="F11" s="23" t="s">
        <v>123</v>
      </c>
      <c r="H11" s="80" t="s">
        <v>388</v>
      </c>
    </row>
    <row r="12" spans="1:8" ht="12.75">
      <c r="A12" s="8" t="s">
        <v>331</v>
      </c>
      <c r="B12" s="79">
        <f>E11*B2</f>
        <v>0.022085</v>
      </c>
      <c r="C12" s="23" t="s">
        <v>123</v>
      </c>
      <c r="D12" s="6"/>
      <c r="E12" s="6"/>
      <c r="F12" s="6"/>
      <c r="H12" s="81" t="s">
        <v>389</v>
      </c>
    </row>
    <row r="13" spans="1:6" ht="12.75">
      <c r="A13" s="8" t="s">
        <v>335</v>
      </c>
      <c r="B13" s="50">
        <v>1.5</v>
      </c>
      <c r="C13" s="79">
        <f>B12*B13</f>
        <v>0.033127500000000004</v>
      </c>
      <c r="D13" s="23" t="s">
        <v>123</v>
      </c>
      <c r="E13" s="6"/>
      <c r="F13" s="6"/>
    </row>
    <row r="24" spans="5:7" ht="12.75">
      <c r="E24" s="12"/>
      <c r="F24" s="12"/>
      <c r="G24" s="12"/>
    </row>
    <row r="25" spans="5:7" ht="12.75">
      <c r="E25" s="12"/>
      <c r="F25" s="12"/>
      <c r="G25" s="12"/>
    </row>
    <row r="26" spans="5:7" ht="12.75">
      <c r="E26" s="12"/>
      <c r="F26" s="12"/>
      <c r="G26" s="12"/>
    </row>
    <row r="27" spans="5:7" ht="12.75">
      <c r="E27" s="12"/>
      <c r="F27" s="12"/>
      <c r="G27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9" sqref="F19"/>
    </sheetView>
  </sheetViews>
  <sheetFormatPr defaultColWidth="9.140625" defaultRowHeight="12.75"/>
  <cols>
    <col min="1" max="1" width="21.421875" style="0" bestFit="1" customWidth="1"/>
    <col min="2" max="2" width="12.00390625" style="0" bestFit="1" customWidth="1"/>
    <col min="3" max="3" width="14.140625" style="0" bestFit="1" customWidth="1"/>
    <col min="5" max="5" width="15.7109375" style="0" bestFit="1" customWidth="1"/>
  </cols>
  <sheetData>
    <row r="1" spans="1:3" ht="12.75">
      <c r="A1" s="70" t="s">
        <v>130</v>
      </c>
      <c r="B1" s="68"/>
      <c r="C1" s="6"/>
    </row>
    <row r="2" spans="1:3" ht="12.75">
      <c r="A2" s="6" t="s">
        <v>403</v>
      </c>
      <c r="B2" s="69">
        <v>1.876</v>
      </c>
      <c r="C2" s="23" t="s">
        <v>120</v>
      </c>
    </row>
    <row r="3" spans="1:3" ht="12.75">
      <c r="A3" s="6" t="s">
        <v>128</v>
      </c>
      <c r="B3" s="69">
        <v>2</v>
      </c>
      <c r="C3" s="23"/>
    </row>
    <row r="4" spans="1:5" ht="12.75">
      <c r="A4" s="6" t="s">
        <v>129</v>
      </c>
      <c r="B4" s="52">
        <f>B2/B3</f>
        <v>0.938</v>
      </c>
      <c r="C4" s="23"/>
      <c r="E4" s="9" t="s">
        <v>387</v>
      </c>
    </row>
    <row r="5" spans="1:5" ht="12.75">
      <c r="A5" s="70" t="s">
        <v>131</v>
      </c>
      <c r="B5" s="67"/>
      <c r="C5" s="23"/>
      <c r="E5" s="80" t="s">
        <v>388</v>
      </c>
    </row>
    <row r="6" spans="1:5" ht="12.75">
      <c r="A6" s="6" t="s">
        <v>394</v>
      </c>
      <c r="B6" s="69">
        <v>1.3125</v>
      </c>
      <c r="C6" s="23" t="s">
        <v>132</v>
      </c>
      <c r="E6" s="81" t="s">
        <v>389</v>
      </c>
    </row>
    <row r="7" spans="1:3" ht="12.75">
      <c r="A7" s="6" t="s">
        <v>404</v>
      </c>
      <c r="B7" s="52">
        <f>B4*B6</f>
        <v>1.231125</v>
      </c>
      <c r="C7" s="23" t="s">
        <v>121</v>
      </c>
    </row>
    <row r="8" spans="1:3" ht="12.75">
      <c r="A8" s="70" t="s">
        <v>133</v>
      </c>
      <c r="B8" s="67"/>
      <c r="C8" s="23"/>
    </row>
    <row r="9" spans="1:3" ht="12.75">
      <c r="A9" s="6" t="s">
        <v>134</v>
      </c>
      <c r="B9" s="69">
        <v>1</v>
      </c>
      <c r="C9" s="23"/>
    </row>
    <row r="10" spans="1:3" ht="12.75">
      <c r="A10" s="6" t="s">
        <v>405</v>
      </c>
      <c r="B10" s="52">
        <f>B7/B9</f>
        <v>1.231125</v>
      </c>
      <c r="C10" s="23" t="s">
        <v>135</v>
      </c>
    </row>
    <row r="11" spans="1:3" ht="12.75">
      <c r="A11" s="70" t="s">
        <v>136</v>
      </c>
      <c r="B11" s="67"/>
      <c r="C11" s="23"/>
    </row>
    <row r="12" spans="1:3" ht="12.75">
      <c r="A12" s="6" t="s">
        <v>106</v>
      </c>
      <c r="B12" s="69">
        <v>66.5</v>
      </c>
      <c r="C12" s="23" t="s">
        <v>137</v>
      </c>
    </row>
    <row r="13" spans="1:3" ht="12.75">
      <c r="A13" s="6" t="s">
        <v>139</v>
      </c>
      <c r="B13" s="52">
        <f>B10*16</f>
        <v>19.698</v>
      </c>
      <c r="C13" s="23" t="s">
        <v>138</v>
      </c>
    </row>
    <row r="14" spans="1:3" ht="12.75">
      <c r="A14" s="70" t="s">
        <v>140</v>
      </c>
      <c r="B14" s="67"/>
      <c r="C14" s="23"/>
    </row>
    <row r="15" spans="1:3" ht="12.75">
      <c r="A15" s="6" t="s">
        <v>141</v>
      </c>
      <c r="B15" s="52">
        <f>B13/B12</f>
        <v>0.2962105263157895</v>
      </c>
      <c r="C15" s="23" t="s">
        <v>142</v>
      </c>
    </row>
    <row r="16" spans="1:3" ht="12.75">
      <c r="A16" s="70" t="s">
        <v>143</v>
      </c>
      <c r="B16" s="67"/>
      <c r="C16" s="23"/>
    </row>
    <row r="17" spans="1:3" ht="12.75">
      <c r="A17" s="6" t="s">
        <v>338</v>
      </c>
      <c r="B17" s="52">
        <f>B15*B3</f>
        <v>0.592421052631579</v>
      </c>
      <c r="C17" s="23" t="s">
        <v>144</v>
      </c>
    </row>
    <row r="18" spans="1:3" ht="12.75">
      <c r="A18" s="70" t="s">
        <v>145</v>
      </c>
      <c r="B18" s="67"/>
      <c r="C18" s="23"/>
    </row>
    <row r="19" spans="1:3" ht="12.75">
      <c r="A19" s="6" t="s">
        <v>336</v>
      </c>
      <c r="B19" s="69">
        <v>0.1</v>
      </c>
      <c r="C19" s="23" t="s">
        <v>325</v>
      </c>
    </row>
    <row r="20" spans="1:3" ht="12.75">
      <c r="A20" s="6" t="s">
        <v>113</v>
      </c>
      <c r="B20" s="52">
        <f>B17*B19</f>
        <v>0.0592421052631579</v>
      </c>
      <c r="C20" s="23" t="s">
        <v>124</v>
      </c>
    </row>
    <row r="21" spans="1:3" ht="12.75">
      <c r="A21" s="8" t="s">
        <v>337</v>
      </c>
      <c r="B21" s="71">
        <v>1.5</v>
      </c>
      <c r="C21" s="24"/>
    </row>
    <row r="22" spans="1:3" ht="12.75">
      <c r="A22" s="6" t="s">
        <v>113</v>
      </c>
      <c r="B22" s="54">
        <f>B20*B21</f>
        <v>0.08886315789473685</v>
      </c>
      <c r="C22" s="23" t="s">
        <v>124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13" sqref="G12:G13"/>
    </sheetView>
  </sheetViews>
  <sheetFormatPr defaultColWidth="9.140625" defaultRowHeight="12.75"/>
  <cols>
    <col min="1" max="1" width="14.7109375" style="0" bestFit="1" customWidth="1"/>
    <col min="2" max="2" width="6.7109375" style="0" customWidth="1"/>
    <col min="3" max="3" width="8.00390625" style="0" customWidth="1"/>
    <col min="4" max="4" width="8.421875" style="17" bestFit="1" customWidth="1"/>
    <col min="5" max="5" width="6.421875" style="0" customWidth="1"/>
    <col min="6" max="6" width="10.8515625" style="0" customWidth="1"/>
    <col min="7" max="7" width="10.140625" style="0" bestFit="1" customWidth="1"/>
    <col min="8" max="8" width="11.00390625" style="0" bestFit="1" customWidth="1"/>
    <col min="9" max="9" width="10.140625" style="0" bestFit="1" customWidth="1"/>
    <col min="10" max="10" width="15.7109375" style="0" bestFit="1" customWidth="1"/>
  </cols>
  <sheetData>
    <row r="1" spans="1:6" ht="38.25">
      <c r="A1" s="4" t="s">
        <v>406</v>
      </c>
      <c r="B1" s="4" t="s">
        <v>1</v>
      </c>
      <c r="C1" s="4" t="s">
        <v>297</v>
      </c>
      <c r="D1" s="18" t="s">
        <v>298</v>
      </c>
      <c r="E1" s="4" t="s">
        <v>26</v>
      </c>
      <c r="F1" s="4" t="s">
        <v>28</v>
      </c>
    </row>
    <row r="2" spans="1:10" ht="12.75">
      <c r="A2" s="10" t="s">
        <v>10</v>
      </c>
      <c r="B2" s="10">
        <v>4</v>
      </c>
      <c r="C2" s="10">
        <v>1.2</v>
      </c>
      <c r="D2" s="49">
        <v>0.2</v>
      </c>
      <c r="E2" s="13">
        <f>B6/C2</f>
        <v>20</v>
      </c>
      <c r="F2" s="13">
        <f>E2*D2</f>
        <v>4</v>
      </c>
      <c r="J2" s="9" t="s">
        <v>387</v>
      </c>
    </row>
    <row r="3" spans="1:10" ht="12.75">
      <c r="A3" s="6" t="s">
        <v>7</v>
      </c>
      <c r="B3" s="6">
        <v>7.8</v>
      </c>
      <c r="C3" s="6">
        <v>1.2</v>
      </c>
      <c r="D3" s="15">
        <v>0.18</v>
      </c>
      <c r="E3" s="6">
        <f>B6/C3</f>
        <v>20</v>
      </c>
      <c r="F3" s="6">
        <f>E3*D3</f>
        <v>3.5999999999999996</v>
      </c>
      <c r="J3" s="80" t="s">
        <v>388</v>
      </c>
    </row>
    <row r="4" spans="1:10" ht="12.75">
      <c r="A4" s="6" t="s">
        <v>8</v>
      </c>
      <c r="B4" s="6">
        <v>0.6</v>
      </c>
      <c r="C4" s="6">
        <v>1.2</v>
      </c>
      <c r="D4" s="15">
        <v>0.1</v>
      </c>
      <c r="E4" s="6">
        <f>B6/C4</f>
        <v>20</v>
      </c>
      <c r="F4" s="6">
        <f>E4*D4</f>
        <v>2</v>
      </c>
      <c r="J4" s="81" t="s">
        <v>389</v>
      </c>
    </row>
    <row r="5" spans="1:6" ht="12.75">
      <c r="A5" s="6" t="s">
        <v>9</v>
      </c>
      <c r="B5" s="6">
        <v>1.8</v>
      </c>
      <c r="C5" s="6">
        <v>1.2</v>
      </c>
      <c r="D5" s="15">
        <v>0.09</v>
      </c>
      <c r="E5" s="6">
        <f>B6/C5</f>
        <v>20</v>
      </c>
      <c r="F5" s="6">
        <f>E5*D5</f>
        <v>1.7999999999999998</v>
      </c>
    </row>
    <row r="6" spans="1:4" ht="12.75">
      <c r="A6" s="6" t="s">
        <v>299</v>
      </c>
      <c r="B6" s="10">
        <v>24</v>
      </c>
      <c r="D6"/>
    </row>
    <row r="8" spans="1:7" ht="12.75">
      <c r="A8" s="6" t="s">
        <v>22</v>
      </c>
      <c r="B8" s="6" t="s">
        <v>111</v>
      </c>
      <c r="C8" s="6"/>
      <c r="E8" t="s">
        <v>295</v>
      </c>
      <c r="G8" s="11"/>
    </row>
    <row r="9" spans="1:7" ht="12.75">
      <c r="A9" s="6" t="s">
        <v>18</v>
      </c>
      <c r="B9" s="10">
        <v>32</v>
      </c>
      <c r="C9" s="6" t="s">
        <v>4</v>
      </c>
      <c r="E9" t="s">
        <v>296</v>
      </c>
      <c r="G9" s="11"/>
    </row>
    <row r="10" spans="1:7" ht="12.75">
      <c r="A10" s="6" t="s">
        <v>25</v>
      </c>
      <c r="B10" s="10">
        <v>1</v>
      </c>
      <c r="C10" s="6" t="s">
        <v>4</v>
      </c>
      <c r="G10" s="11"/>
    </row>
    <row r="11" spans="1:7" ht="12.75">
      <c r="A11" s="6" t="s">
        <v>19</v>
      </c>
      <c r="B11" s="13">
        <f>F2</f>
        <v>4</v>
      </c>
      <c r="C11" s="6" t="s">
        <v>4</v>
      </c>
      <c r="G11" s="11"/>
    </row>
    <row r="12" spans="1:3" ht="12.75">
      <c r="A12" s="6" t="s">
        <v>20</v>
      </c>
      <c r="B12" s="10">
        <v>10</v>
      </c>
      <c r="C12" s="6" t="s">
        <v>4</v>
      </c>
    </row>
    <row r="13" spans="1:3" ht="12.75">
      <c r="A13" s="6" t="s">
        <v>21</v>
      </c>
      <c r="B13" s="10">
        <v>0.5</v>
      </c>
      <c r="C13" s="6" t="s">
        <v>4</v>
      </c>
    </row>
    <row r="14" spans="1:3" ht="12.75">
      <c r="A14" s="6" t="s">
        <v>12</v>
      </c>
      <c r="B14" s="10">
        <v>0.5</v>
      </c>
      <c r="C14" s="6" t="s">
        <v>4</v>
      </c>
    </row>
    <row r="15" spans="1:3" ht="12.75">
      <c r="A15" s="6" t="s">
        <v>23</v>
      </c>
      <c r="B15" s="13">
        <f>SUM(B9:B14)</f>
        <v>48</v>
      </c>
      <c r="C15" s="6" t="s">
        <v>4</v>
      </c>
    </row>
    <row r="17" spans="1:9" ht="12.75">
      <c r="A17" s="6"/>
      <c r="B17" s="6" t="s">
        <v>111</v>
      </c>
      <c r="C17" s="6"/>
      <c r="D17" s="15"/>
      <c r="E17" s="6"/>
      <c r="F17" s="6" t="s">
        <v>1</v>
      </c>
      <c r="G17" s="6" t="s">
        <v>1</v>
      </c>
      <c r="H17" s="6" t="s">
        <v>1</v>
      </c>
      <c r="I17" s="6" t="s">
        <v>113</v>
      </c>
    </row>
    <row r="18" spans="1:9" ht="12.75">
      <c r="A18" s="6" t="s">
        <v>110</v>
      </c>
      <c r="B18" s="10">
        <v>10</v>
      </c>
      <c r="C18" s="6" t="s">
        <v>14</v>
      </c>
      <c r="D18" s="15"/>
      <c r="E18" s="6"/>
      <c r="F18" s="6" t="s">
        <v>3</v>
      </c>
      <c r="G18" s="6" t="s">
        <v>2</v>
      </c>
      <c r="H18" s="6" t="s">
        <v>11</v>
      </c>
      <c r="I18" s="6"/>
    </row>
    <row r="19" spans="1:9" ht="12.75">
      <c r="A19" s="6" t="s">
        <v>23</v>
      </c>
      <c r="B19" s="13">
        <f>B15</f>
        <v>48</v>
      </c>
      <c r="C19" s="6" t="s">
        <v>4</v>
      </c>
      <c r="D19" s="16">
        <f>B19*9.8*B20</f>
        <v>470.40000000000003</v>
      </c>
      <c r="E19" s="6" t="s">
        <v>6</v>
      </c>
      <c r="F19" s="13">
        <f>0.000278*D19</f>
        <v>0.1307712</v>
      </c>
      <c r="G19" s="13">
        <f>0.000278*D21</f>
        <v>0.026687999999999996</v>
      </c>
      <c r="H19" s="6"/>
      <c r="I19" s="6"/>
    </row>
    <row r="20" spans="1:9" ht="12.75">
      <c r="A20" s="6" t="s">
        <v>17</v>
      </c>
      <c r="B20" s="10">
        <v>1</v>
      </c>
      <c r="C20" s="6" t="s">
        <v>5</v>
      </c>
      <c r="D20" s="15"/>
      <c r="E20" s="6"/>
      <c r="F20" s="6"/>
      <c r="G20" s="6"/>
      <c r="H20" s="6"/>
      <c r="I20" s="6"/>
    </row>
    <row r="21" spans="1:9" ht="12.75">
      <c r="A21" s="6" t="s">
        <v>0</v>
      </c>
      <c r="B21" s="10">
        <v>2</v>
      </c>
      <c r="C21" s="6" t="s">
        <v>15</v>
      </c>
      <c r="D21" s="16">
        <f>(B19*B21^2)/2</f>
        <v>96</v>
      </c>
      <c r="E21" s="6" t="s">
        <v>6</v>
      </c>
      <c r="F21" s="6"/>
      <c r="G21" s="6"/>
      <c r="H21" s="6"/>
      <c r="I21" s="6"/>
    </row>
    <row r="22" spans="1:9" ht="12.75">
      <c r="A22" s="6" t="s">
        <v>112</v>
      </c>
      <c r="B22" s="10">
        <v>0.2</v>
      </c>
      <c r="C22" s="6" t="s">
        <v>13</v>
      </c>
      <c r="D22" s="15"/>
      <c r="E22" s="6"/>
      <c r="F22" s="6"/>
      <c r="G22" s="16">
        <f>B18*B22</f>
        <v>2</v>
      </c>
      <c r="H22" s="6"/>
      <c r="I22" s="6"/>
    </row>
    <row r="23" spans="1:9" ht="12.75">
      <c r="A23" s="6" t="s">
        <v>12</v>
      </c>
      <c r="B23" s="10">
        <v>0.1</v>
      </c>
      <c r="C23" s="6" t="s">
        <v>13</v>
      </c>
      <c r="D23" s="15"/>
      <c r="E23" s="6"/>
      <c r="F23" s="6"/>
      <c r="G23" s="16">
        <f>B18*B23</f>
        <v>1</v>
      </c>
      <c r="H23" s="6"/>
      <c r="I23" s="6"/>
    </row>
    <row r="24" spans="1:9" ht="12.75">
      <c r="A24" s="6" t="s">
        <v>24</v>
      </c>
      <c r="B24" s="8"/>
      <c r="C24" s="6"/>
      <c r="D24" s="16">
        <f>B10*B21^2</f>
        <v>4</v>
      </c>
      <c r="E24" s="6" t="s">
        <v>6</v>
      </c>
      <c r="F24" s="6"/>
      <c r="G24" s="6"/>
      <c r="H24" s="6"/>
      <c r="I24" s="6"/>
    </row>
    <row r="25" spans="1:9" ht="12.75">
      <c r="A25" s="6" t="s">
        <v>390</v>
      </c>
      <c r="B25" s="6"/>
      <c r="C25" s="6"/>
      <c r="D25" s="15"/>
      <c r="E25" s="6"/>
      <c r="F25" s="6"/>
      <c r="G25" s="13">
        <f>F19+G19+G22+G23+D24</f>
        <v>7.1574592</v>
      </c>
      <c r="H25" s="13">
        <f>2*G25</f>
        <v>14.3149184</v>
      </c>
      <c r="I25" s="53">
        <f>H25/B6</f>
        <v>0.5964549333333333</v>
      </c>
    </row>
    <row r="27" spans="1:4" ht="12.75">
      <c r="A27" s="6" t="s">
        <v>107</v>
      </c>
      <c r="B27" s="6" t="s">
        <v>111</v>
      </c>
      <c r="C27" s="6" t="s">
        <v>16</v>
      </c>
      <c r="D27" s="15" t="s">
        <v>109</v>
      </c>
    </row>
    <row r="28" spans="1:4" ht="12.75">
      <c r="A28" s="6" t="s">
        <v>391</v>
      </c>
      <c r="B28" s="13">
        <f>I25/B18</f>
        <v>0.059645493333333334</v>
      </c>
      <c r="C28" s="53">
        <f>B29*B28</f>
        <v>0.11929098666666667</v>
      </c>
      <c r="D28" s="16">
        <f>C28*1.25</f>
        <v>0.14911373333333333</v>
      </c>
    </row>
    <row r="29" spans="1:4" ht="12.75">
      <c r="A29" s="6" t="s">
        <v>108</v>
      </c>
      <c r="B29" s="10">
        <v>2</v>
      </c>
      <c r="C29" s="6"/>
      <c r="D29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44" sqref="F44"/>
    </sheetView>
  </sheetViews>
  <sheetFormatPr defaultColWidth="9.140625" defaultRowHeight="12.75"/>
  <cols>
    <col min="1" max="1" width="32.28125" style="0" bestFit="1" customWidth="1"/>
    <col min="2" max="2" width="12.00390625" style="0" bestFit="1" customWidth="1"/>
    <col min="3" max="3" width="10.28125" style="0" bestFit="1" customWidth="1"/>
    <col min="4" max="4" width="12.00390625" style="0" bestFit="1" customWidth="1"/>
    <col min="5" max="5" width="11.28125" style="0" bestFit="1" customWidth="1"/>
    <col min="6" max="6" width="9.00390625" style="0" bestFit="1" customWidth="1"/>
    <col min="7" max="7" width="6.00390625" style="0" bestFit="1" customWidth="1"/>
    <col min="8" max="8" width="15.7109375" style="0" bestFit="1" customWidth="1"/>
    <col min="9" max="9" width="5.57421875" style="0" bestFit="1" customWidth="1"/>
  </cols>
  <sheetData>
    <row r="1" ht="12.75">
      <c r="D1" s="17"/>
    </row>
    <row r="2" spans="1:8" s="1" customFormat="1" ht="38.25">
      <c r="A2" s="4" t="s">
        <v>367</v>
      </c>
      <c r="B2" s="5" t="s">
        <v>370</v>
      </c>
      <c r="C2" s="5" t="s">
        <v>326</v>
      </c>
      <c r="D2" s="72" t="s">
        <v>372</v>
      </c>
      <c r="E2" s="5" t="s">
        <v>368</v>
      </c>
      <c r="F2" s="5" t="s">
        <v>369</v>
      </c>
      <c r="G2" s="55"/>
      <c r="H2" s="14"/>
    </row>
    <row r="3" spans="1:8" s="1" customFormat="1" ht="12.75">
      <c r="A3" s="4" t="s">
        <v>373</v>
      </c>
      <c r="B3" s="76">
        <v>1.3</v>
      </c>
      <c r="C3" s="5"/>
      <c r="D3" s="72"/>
      <c r="E3" s="4"/>
      <c r="F3" s="4"/>
      <c r="G3" s="55"/>
      <c r="H3" s="14"/>
    </row>
    <row r="4" spans="1:8" ht="12.75">
      <c r="A4" s="6" t="s">
        <v>108</v>
      </c>
      <c r="B4" s="9">
        <v>2</v>
      </c>
      <c r="C4" s="7"/>
      <c r="D4" s="68"/>
      <c r="E4" s="7"/>
      <c r="F4" s="7"/>
      <c r="G4" s="77"/>
      <c r="H4" s="11"/>
    </row>
    <row r="5" spans="1:8" ht="12.75">
      <c r="A5" s="6" t="s">
        <v>366</v>
      </c>
      <c r="B5" s="9">
        <v>24</v>
      </c>
      <c r="C5" s="7" t="s">
        <v>27</v>
      </c>
      <c r="D5" s="68"/>
      <c r="E5" s="7"/>
      <c r="F5" s="7"/>
      <c r="G5" s="77"/>
      <c r="H5" s="11"/>
    </row>
    <row r="6" spans="1:8" ht="12.75">
      <c r="A6" s="6" t="s">
        <v>110</v>
      </c>
      <c r="B6" s="9">
        <v>0.5</v>
      </c>
      <c r="C6" s="7" t="s">
        <v>14</v>
      </c>
      <c r="D6" s="68"/>
      <c r="E6" s="7"/>
      <c r="F6" s="7"/>
      <c r="G6" s="77"/>
      <c r="H6" s="11"/>
    </row>
    <row r="7" spans="1:8" ht="12.75">
      <c r="A7" s="6" t="s">
        <v>17</v>
      </c>
      <c r="B7" s="9">
        <v>3</v>
      </c>
      <c r="C7" s="7" t="s">
        <v>5</v>
      </c>
      <c r="D7" s="68"/>
      <c r="E7" s="7"/>
      <c r="F7" s="7"/>
      <c r="G7" s="77"/>
      <c r="H7" s="11"/>
    </row>
    <row r="8" spans="1:8" ht="12.75">
      <c r="A8" s="6" t="s">
        <v>0</v>
      </c>
      <c r="B8" s="9">
        <v>0.5</v>
      </c>
      <c r="C8" s="7" t="s">
        <v>15</v>
      </c>
      <c r="D8" s="73">
        <f>(B9*B8^2)/2</f>
        <v>0.625</v>
      </c>
      <c r="E8" s="7"/>
      <c r="F8" s="73">
        <f>0.000278*(D8+D10)</f>
        <v>0.00017381949999999998</v>
      </c>
      <c r="G8" s="77"/>
      <c r="H8" s="11"/>
    </row>
    <row r="9" spans="1:8" ht="12.75">
      <c r="A9" s="6" t="s">
        <v>23</v>
      </c>
      <c r="B9" s="9">
        <v>5</v>
      </c>
      <c r="C9" s="7" t="s">
        <v>4</v>
      </c>
      <c r="D9" s="73">
        <f>B9*9.8*B7</f>
        <v>147</v>
      </c>
      <c r="E9" s="73">
        <f>0.000278*D9</f>
        <v>0.040866</v>
      </c>
      <c r="F9" s="6"/>
      <c r="G9" s="77"/>
      <c r="H9" s="11"/>
    </row>
    <row r="10" spans="1:8" ht="12.75">
      <c r="A10" s="6" t="s">
        <v>365</v>
      </c>
      <c r="B10" s="9">
        <v>0.001</v>
      </c>
      <c r="C10" s="7" t="s">
        <v>4</v>
      </c>
      <c r="D10" s="73">
        <f>B10*B8^2</f>
        <v>0.00025</v>
      </c>
      <c r="E10" s="7"/>
      <c r="F10" s="7"/>
      <c r="G10" s="77"/>
      <c r="H10" s="11"/>
    </row>
    <row r="11" spans="1:8" ht="12.75">
      <c r="A11" s="6" t="s">
        <v>21</v>
      </c>
      <c r="B11" s="9">
        <v>0.1</v>
      </c>
      <c r="C11" s="7" t="s">
        <v>13</v>
      </c>
      <c r="E11" s="7"/>
      <c r="F11" s="73">
        <f>B6*B11</f>
        <v>0.05</v>
      </c>
      <c r="G11" s="77"/>
      <c r="H11" s="11"/>
    </row>
    <row r="12" spans="1:8" ht="12.75">
      <c r="A12" s="6" t="s">
        <v>382</v>
      </c>
      <c r="B12" s="74">
        <f>E9+F8+F11+D10</f>
        <v>0.09128981950000001</v>
      </c>
      <c r="C12" s="7" t="s">
        <v>380</v>
      </c>
      <c r="D12" s="75"/>
      <c r="E12" s="7"/>
      <c r="F12" s="7"/>
      <c r="G12" s="77"/>
      <c r="H12" s="11"/>
    </row>
    <row r="13" spans="1:8" ht="12.75">
      <c r="A13" s="6" t="s">
        <v>381</v>
      </c>
      <c r="B13" s="74">
        <f>B3*B12</f>
        <v>0.11867676535000002</v>
      </c>
      <c r="C13" s="7" t="s">
        <v>380</v>
      </c>
      <c r="D13" s="75"/>
      <c r="E13" s="7"/>
      <c r="F13" s="7"/>
      <c r="G13" s="77"/>
      <c r="H13" s="11"/>
    </row>
    <row r="14" spans="1:8" ht="12.75">
      <c r="A14" s="6" t="s">
        <v>383</v>
      </c>
      <c r="B14" s="74">
        <f>B13/B5*2</f>
        <v>0.009889730445833335</v>
      </c>
      <c r="C14" s="75" t="s">
        <v>301</v>
      </c>
      <c r="D14" s="68"/>
      <c r="E14" s="7"/>
      <c r="F14" s="6"/>
      <c r="G14" s="11"/>
      <c r="H14" s="11"/>
    </row>
    <row r="15" spans="1:8" ht="12.75">
      <c r="A15" s="8" t="s">
        <v>384</v>
      </c>
      <c r="B15" s="74">
        <f>B5*B14/B6</f>
        <v>0.4747070614000001</v>
      </c>
      <c r="C15" s="20" t="s">
        <v>375</v>
      </c>
      <c r="D15" s="6"/>
      <c r="E15" s="6"/>
      <c r="F15" s="6"/>
      <c r="G15" s="78"/>
      <c r="H15" s="11"/>
    </row>
    <row r="18" spans="1:5" ht="12.75">
      <c r="A18" s="6" t="s">
        <v>355</v>
      </c>
      <c r="B18" s="7" t="s">
        <v>370</v>
      </c>
      <c r="C18" s="7" t="s">
        <v>326</v>
      </c>
      <c r="D18" s="7" t="s">
        <v>371</v>
      </c>
      <c r="E18" s="7" t="s">
        <v>326</v>
      </c>
    </row>
    <row r="19" spans="1:8" ht="12.75">
      <c r="A19" s="6" t="s">
        <v>376</v>
      </c>
      <c r="B19" s="73">
        <f>B9*2.205</f>
        <v>11.025</v>
      </c>
      <c r="C19" s="7" t="s">
        <v>120</v>
      </c>
      <c r="D19" s="68">
        <f>B9</f>
        <v>5</v>
      </c>
      <c r="E19" s="7" t="s">
        <v>202</v>
      </c>
      <c r="H19" s="9" t="s">
        <v>387</v>
      </c>
    </row>
    <row r="20" spans="1:8" ht="12.75">
      <c r="A20" s="6" t="s">
        <v>377</v>
      </c>
      <c r="B20" s="73">
        <f>B8*3.048</f>
        <v>1.524</v>
      </c>
      <c r="C20" s="7" t="s">
        <v>199</v>
      </c>
      <c r="D20" s="68">
        <f>B8</f>
        <v>0.5</v>
      </c>
      <c r="E20" s="7" t="s">
        <v>198</v>
      </c>
      <c r="H20" s="80" t="s">
        <v>388</v>
      </c>
    </row>
    <row r="21" spans="1:8" ht="12.75">
      <c r="A21" s="6" t="s">
        <v>378</v>
      </c>
      <c r="B21" s="71">
        <v>20</v>
      </c>
      <c r="C21" s="7" t="s">
        <v>200</v>
      </c>
      <c r="D21" s="68">
        <f>B21/57.2958</f>
        <v>0.3490657255854705</v>
      </c>
      <c r="E21" s="7" t="s">
        <v>284</v>
      </c>
      <c r="H21" s="81" t="s">
        <v>389</v>
      </c>
    </row>
    <row r="22" spans="1:5" ht="12.75">
      <c r="A22" s="6" t="s">
        <v>201</v>
      </c>
      <c r="B22" s="71">
        <v>0.95</v>
      </c>
      <c r="C22" s="7"/>
      <c r="D22" s="68"/>
      <c r="E22" s="7"/>
    </row>
    <row r="23" spans="1:5" ht="12.75">
      <c r="A23" s="6" t="s">
        <v>379</v>
      </c>
      <c r="B23" s="68">
        <f>D19*9.8*(B22*COS(D21)+SIN(D21))*D20</f>
        <v>30.250837380337497</v>
      </c>
      <c r="C23" s="7" t="s">
        <v>13</v>
      </c>
      <c r="D23" s="68"/>
      <c r="E23" s="7"/>
    </row>
    <row r="24" spans="1:5" ht="12.75">
      <c r="A24" s="6" t="s">
        <v>392</v>
      </c>
      <c r="B24" s="73">
        <f>B3</f>
        <v>1.3</v>
      </c>
      <c r="C24" s="7"/>
      <c r="D24" s="74">
        <f>B24*B23</f>
        <v>39.32608859443875</v>
      </c>
      <c r="E24" s="7" t="s">
        <v>374</v>
      </c>
    </row>
    <row r="25" spans="1:5" ht="12.75">
      <c r="A25" s="6" t="s">
        <v>128</v>
      </c>
      <c r="B25" s="73">
        <f>B4</f>
        <v>2</v>
      </c>
      <c r="C25" s="7"/>
      <c r="D25" s="74">
        <f>D24/B25</f>
        <v>19.663044297219376</v>
      </c>
      <c r="E25" s="7" t="s">
        <v>203</v>
      </c>
    </row>
    <row r="27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C26" sqref="C26"/>
    </sheetView>
  </sheetViews>
  <sheetFormatPr defaultColWidth="9.140625" defaultRowHeight="12.75"/>
  <cols>
    <col min="1" max="1" width="40.28125" style="0" bestFit="1" customWidth="1"/>
    <col min="3" max="3" width="11.57421875" style="0" customWidth="1"/>
    <col min="6" max="6" width="15.7109375" style="0" bestFit="1" customWidth="1"/>
  </cols>
  <sheetData>
    <row r="2" spans="1:5" ht="12.75">
      <c r="A2" s="6" t="s">
        <v>355</v>
      </c>
      <c r="B2" s="6"/>
      <c r="C2" s="6"/>
      <c r="D2" s="6"/>
      <c r="E2" s="6"/>
    </row>
    <row r="3" spans="1:5" ht="12.75">
      <c r="A3" s="6" t="s">
        <v>397</v>
      </c>
      <c r="B3" s="10">
        <v>2.2</v>
      </c>
      <c r="C3" s="6" t="s">
        <v>120</v>
      </c>
      <c r="D3" s="6">
        <f>B3*0.4536</f>
        <v>0.9979200000000001</v>
      </c>
      <c r="E3" s="6" t="s">
        <v>202</v>
      </c>
    </row>
    <row r="4" spans="1:5" ht="12.75">
      <c r="A4" s="6" t="s">
        <v>396</v>
      </c>
      <c r="B4" s="10">
        <v>3</v>
      </c>
      <c r="C4" s="6" t="s">
        <v>199</v>
      </c>
      <c r="D4" s="6">
        <f>B4*0.3048</f>
        <v>0.9144000000000001</v>
      </c>
      <c r="E4" s="6" t="s">
        <v>198</v>
      </c>
    </row>
    <row r="5" spans="1:5" ht="12.75">
      <c r="A5" s="6" t="s">
        <v>395</v>
      </c>
      <c r="B5" s="10">
        <v>30</v>
      </c>
      <c r="C5" s="6" t="s">
        <v>200</v>
      </c>
      <c r="D5" s="6">
        <f>B5/57.2958</f>
        <v>0.5235985883782057</v>
      </c>
      <c r="E5" s="6" t="s">
        <v>284</v>
      </c>
    </row>
    <row r="6" spans="1:5" ht="12.75">
      <c r="A6" s="6" t="s">
        <v>201</v>
      </c>
      <c r="B6" s="10">
        <v>0.95</v>
      </c>
      <c r="C6" s="6"/>
      <c r="D6" s="6"/>
      <c r="E6" s="6"/>
    </row>
    <row r="7" spans="1:5" ht="12.75">
      <c r="A7" s="6" t="s">
        <v>385</v>
      </c>
      <c r="B7" s="10">
        <v>1.3</v>
      </c>
      <c r="C7" s="6"/>
      <c r="D7" s="6"/>
      <c r="E7" s="6"/>
    </row>
    <row r="8" spans="1:5" ht="12.75">
      <c r="A8" s="6" t="s">
        <v>128</v>
      </c>
      <c r="B8" s="10">
        <v>2</v>
      </c>
      <c r="C8" s="6"/>
      <c r="D8" s="6"/>
      <c r="E8" s="6"/>
    </row>
    <row r="9" spans="1:5" ht="12.75">
      <c r="A9" s="6" t="s">
        <v>343</v>
      </c>
      <c r="B9" s="13">
        <f>D3*9.8*(B6*COS(D5)+SIN(D5))*D4</f>
        <v>11.828434606831973</v>
      </c>
      <c r="C9" s="6" t="s">
        <v>13</v>
      </c>
      <c r="D9" s="6"/>
      <c r="E9" s="6"/>
    </row>
    <row r="10" spans="1:5" ht="12.75">
      <c r="A10" s="6" t="s">
        <v>386</v>
      </c>
      <c r="B10" s="13">
        <f>B7*B9</f>
        <v>15.376964988881564</v>
      </c>
      <c r="C10" s="6"/>
      <c r="D10" s="6"/>
      <c r="E10" s="6"/>
    </row>
    <row r="11" spans="1:5" ht="12.75">
      <c r="A11" s="6" t="s">
        <v>16</v>
      </c>
      <c r="B11" s="53">
        <f>B10/B8</f>
        <v>7.688482494440782</v>
      </c>
      <c r="C11" s="6" t="s">
        <v>203</v>
      </c>
      <c r="D11" s="6"/>
      <c r="E11" s="6"/>
    </row>
    <row r="13" spans="1:6" ht="12.75">
      <c r="A13" s="6" t="s">
        <v>363</v>
      </c>
      <c r="B13" s="6"/>
      <c r="C13" s="6"/>
      <c r="F13" s="9" t="s">
        <v>387</v>
      </c>
    </row>
    <row r="14" spans="1:6" ht="12.75">
      <c r="A14" s="6" t="s">
        <v>195</v>
      </c>
      <c r="B14" s="10">
        <v>3</v>
      </c>
      <c r="C14" s="6" t="s">
        <v>27</v>
      </c>
      <c r="F14" s="80" t="s">
        <v>388</v>
      </c>
    </row>
    <row r="15" spans="1:6" ht="12.75">
      <c r="A15" s="6" t="s">
        <v>196</v>
      </c>
      <c r="B15" s="10">
        <v>0.85</v>
      </c>
      <c r="C15" s="6" t="s">
        <v>124</v>
      </c>
      <c r="F15" s="81" t="s">
        <v>389</v>
      </c>
    </row>
    <row r="16" spans="1:3" ht="12.75">
      <c r="A16" s="6" t="s">
        <v>197</v>
      </c>
      <c r="B16" s="53">
        <f>B14*B15*3600</f>
        <v>9180</v>
      </c>
      <c r="C16" s="6" t="s">
        <v>6</v>
      </c>
    </row>
    <row r="17" spans="1:3" ht="12.75">
      <c r="A17" s="6" t="s">
        <v>394</v>
      </c>
      <c r="B17" s="10">
        <v>0.25</v>
      </c>
      <c r="C17" s="6" t="s">
        <v>360</v>
      </c>
    </row>
    <row r="18" spans="1:3" ht="12.75">
      <c r="A18" s="6" t="s">
        <v>393</v>
      </c>
      <c r="B18" s="10">
        <v>112</v>
      </c>
      <c r="C18" s="6" t="s">
        <v>324</v>
      </c>
    </row>
    <row r="19" spans="1:3" ht="12.75">
      <c r="A19" s="6" t="s">
        <v>361</v>
      </c>
      <c r="B19" s="13">
        <f>(B18*B4/B17)*2</f>
        <v>2688</v>
      </c>
      <c r="C19" s="6" t="s">
        <v>362</v>
      </c>
    </row>
    <row r="20" spans="1:3" ht="12.75">
      <c r="A20" s="6" t="s">
        <v>398</v>
      </c>
      <c r="B20" s="53">
        <f>(B16*106.2)/B19</f>
        <v>362.6919642857143</v>
      </c>
      <c r="C20" s="6" t="s">
        <v>118</v>
      </c>
    </row>
    <row r="21" spans="1:3" ht="12.75">
      <c r="A21" s="6" t="s">
        <v>399</v>
      </c>
      <c r="B21" s="53">
        <f>B4*B20</f>
        <v>1088.075892857143</v>
      </c>
      <c r="C21" s="6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G84" sqref="G84"/>
    </sheetView>
  </sheetViews>
  <sheetFormatPr defaultColWidth="9.140625" defaultRowHeight="12.75"/>
  <cols>
    <col min="1" max="1" width="13.00390625" style="0" customWidth="1"/>
    <col min="2" max="2" width="19.8515625" style="0" customWidth="1"/>
    <col min="3" max="3" width="13.57421875" style="3" bestFit="1" customWidth="1"/>
    <col min="4" max="4" width="8.140625" style="3" bestFit="1" customWidth="1"/>
    <col min="5" max="5" width="9.7109375" style="3" bestFit="1" customWidth="1"/>
    <col min="6" max="6" width="9.421875" style="3" customWidth="1"/>
    <col min="7" max="7" width="19.8515625" style="3" customWidth="1"/>
    <col min="8" max="8" width="9.57421875" style="3" customWidth="1"/>
    <col min="9" max="9" width="8.140625" style="3" bestFit="1" customWidth="1"/>
    <col min="10" max="10" width="9.00390625" style="3" bestFit="1" customWidth="1"/>
    <col min="11" max="12" width="9.140625" style="3" customWidth="1"/>
    <col min="13" max="14" width="12.00390625" style="3" bestFit="1" customWidth="1"/>
  </cols>
  <sheetData>
    <row r="1" spans="1:14" s="1" customFormat="1" ht="51">
      <c r="A1" s="4" t="s">
        <v>81</v>
      </c>
      <c r="B1" s="4" t="s">
        <v>88</v>
      </c>
      <c r="C1" s="5" t="s">
        <v>93</v>
      </c>
      <c r="D1" s="5" t="s">
        <v>86</v>
      </c>
      <c r="E1" s="5" t="s">
        <v>95</v>
      </c>
      <c r="F1" s="5" t="s">
        <v>281</v>
      </c>
      <c r="G1" s="5" t="s">
        <v>101</v>
      </c>
      <c r="H1" s="5" t="s">
        <v>87</v>
      </c>
      <c r="I1" s="5" t="s">
        <v>84</v>
      </c>
      <c r="J1" s="5" t="s">
        <v>85</v>
      </c>
      <c r="K1" s="5" t="s">
        <v>99</v>
      </c>
      <c r="L1" s="5" t="s">
        <v>100</v>
      </c>
      <c r="M1" s="5" t="s">
        <v>102</v>
      </c>
      <c r="N1" s="5" t="s">
        <v>103</v>
      </c>
    </row>
    <row r="2" spans="1:14" ht="12.75">
      <c r="A2" s="6" t="s">
        <v>82</v>
      </c>
      <c r="B2" s="6" t="s">
        <v>92</v>
      </c>
      <c r="C2" s="7" t="s">
        <v>94</v>
      </c>
      <c r="D2" s="7">
        <v>4.4</v>
      </c>
      <c r="E2" s="7">
        <v>0.04</v>
      </c>
      <c r="F2" s="7">
        <v>0.9</v>
      </c>
      <c r="G2" s="7">
        <v>1.4</v>
      </c>
      <c r="H2" s="7">
        <v>4</v>
      </c>
      <c r="I2" s="7">
        <v>40</v>
      </c>
      <c r="J2" s="7">
        <v>10.3</v>
      </c>
      <c r="K2" s="7">
        <v>100</v>
      </c>
      <c r="L2" s="7">
        <v>7.9</v>
      </c>
      <c r="M2" s="7">
        <v>3.1</v>
      </c>
      <c r="N2" s="7">
        <v>2.9</v>
      </c>
    </row>
    <row r="3" spans="1:14" ht="12.75">
      <c r="A3" s="6" t="s">
        <v>67</v>
      </c>
      <c r="B3" s="6" t="s">
        <v>91</v>
      </c>
      <c r="C3" s="7" t="s">
        <v>94</v>
      </c>
      <c r="D3" s="7">
        <v>6.5</v>
      </c>
      <c r="E3" s="7">
        <v>0.03</v>
      </c>
      <c r="F3" s="7">
        <v>0.92</v>
      </c>
      <c r="G3" s="7">
        <v>1.8</v>
      </c>
      <c r="H3" s="7">
        <v>6</v>
      </c>
      <c r="I3" s="7">
        <v>60</v>
      </c>
      <c r="J3" s="7">
        <v>10.3</v>
      </c>
      <c r="K3" s="7">
        <v>100</v>
      </c>
      <c r="L3" s="7">
        <v>10.3</v>
      </c>
      <c r="M3" s="7">
        <v>3.6</v>
      </c>
      <c r="N3" s="7">
        <v>3.3</v>
      </c>
    </row>
    <row r="4" spans="1:14" ht="12.75">
      <c r="A4" s="6" t="s">
        <v>83</v>
      </c>
      <c r="B4" s="6" t="s">
        <v>90</v>
      </c>
      <c r="C4" s="7">
        <v>12</v>
      </c>
      <c r="D4" s="7">
        <v>12</v>
      </c>
      <c r="E4" s="7">
        <v>0.0167</v>
      </c>
      <c r="F4" s="7">
        <v>0.33</v>
      </c>
      <c r="G4" s="7">
        <v>4.1</v>
      </c>
      <c r="H4" s="7">
        <v>4.1</v>
      </c>
      <c r="I4" s="7">
        <v>41</v>
      </c>
      <c r="J4" s="7">
        <v>11.5</v>
      </c>
      <c r="K4" s="7">
        <v>120</v>
      </c>
      <c r="L4" s="7">
        <v>10.22</v>
      </c>
      <c r="M4" s="7">
        <v>2.9</v>
      </c>
      <c r="N4" s="7">
        <v>1</v>
      </c>
    </row>
    <row r="5" spans="1:14" ht="12.75">
      <c r="A5" s="6" t="s">
        <v>83</v>
      </c>
      <c r="B5" s="6" t="s">
        <v>89</v>
      </c>
      <c r="C5" s="7">
        <v>12</v>
      </c>
      <c r="D5" s="7">
        <v>17.5</v>
      </c>
      <c r="E5" s="7">
        <v>0.015</v>
      </c>
      <c r="F5" s="7">
        <v>0.33</v>
      </c>
      <c r="G5" s="7">
        <v>5.9</v>
      </c>
      <c r="H5" s="7">
        <v>5.8</v>
      </c>
      <c r="I5" s="7">
        <v>58</v>
      </c>
      <c r="J5" s="7">
        <v>11.5</v>
      </c>
      <c r="K5" s="7">
        <v>175</v>
      </c>
      <c r="L5" s="7">
        <v>9.78</v>
      </c>
      <c r="M5" s="7">
        <v>3</v>
      </c>
      <c r="N5" s="7">
        <v>1</v>
      </c>
    </row>
    <row r="6" spans="1:14" ht="12.75">
      <c r="A6" s="8" t="s">
        <v>104</v>
      </c>
      <c r="B6" s="8" t="s">
        <v>105</v>
      </c>
      <c r="C6" s="9">
        <v>12</v>
      </c>
      <c r="D6" s="9">
        <v>17.5</v>
      </c>
      <c r="E6" s="9">
        <v>0.015</v>
      </c>
      <c r="F6" s="9">
        <v>0.33</v>
      </c>
      <c r="G6" s="9">
        <v>5.9</v>
      </c>
      <c r="H6" s="7">
        <f>D6*F6</f>
        <v>5.775</v>
      </c>
      <c r="I6" s="7">
        <f>10*F6*D6</f>
        <v>57.75000000000001</v>
      </c>
      <c r="J6" s="7">
        <f>C6-E6*I6</f>
        <v>11.13375</v>
      </c>
      <c r="K6" s="7">
        <f>10*D6</f>
        <v>175</v>
      </c>
      <c r="L6" s="7">
        <f>C6-E6*K6</f>
        <v>9.375</v>
      </c>
      <c r="M6" s="7">
        <f>D6/G6</f>
        <v>2.966101694915254</v>
      </c>
      <c r="N6" s="7">
        <f>H6/G6</f>
        <v>0.978813559322034</v>
      </c>
    </row>
    <row r="8" ht="12.75">
      <c r="B8" t="s">
        <v>96</v>
      </c>
    </row>
    <row r="9" ht="12.75">
      <c r="B9" t="s">
        <v>97</v>
      </c>
    </row>
    <row r="10" ht="12.75">
      <c r="B10" t="s">
        <v>98</v>
      </c>
    </row>
    <row r="12" ht="12.75">
      <c r="A12" t="s">
        <v>213</v>
      </c>
    </row>
    <row r="13" spans="1:14" s="1" customFormat="1" ht="25.5">
      <c r="A13" s="27" t="s">
        <v>208</v>
      </c>
      <c r="B13" s="27" t="s">
        <v>82</v>
      </c>
      <c r="C13" s="27" t="s">
        <v>209</v>
      </c>
      <c r="D13" s="27" t="s">
        <v>212</v>
      </c>
      <c r="E13" s="27" t="s">
        <v>83</v>
      </c>
      <c r="F13" s="28"/>
      <c r="G13" s="28"/>
      <c r="H13" s="28"/>
      <c r="I13" s="28"/>
      <c r="J13" s="28"/>
      <c r="K13" s="28"/>
      <c r="L13" s="28"/>
      <c r="M13" s="28"/>
      <c r="N13" s="28"/>
    </row>
    <row r="14" spans="1:5" ht="12.75">
      <c r="A14" s="26">
        <v>0.1</v>
      </c>
      <c r="B14" s="26">
        <v>5.9</v>
      </c>
      <c r="C14" s="26">
        <v>8.7</v>
      </c>
      <c r="D14" s="26">
        <v>3.4</v>
      </c>
      <c r="E14" s="26">
        <v>2.8</v>
      </c>
    </row>
    <row r="15" spans="1:5" ht="12.75">
      <c r="A15" s="26">
        <v>0.5</v>
      </c>
      <c r="B15" s="26">
        <v>4.3</v>
      </c>
      <c r="C15" s="26">
        <v>3.3</v>
      </c>
      <c r="D15" s="26">
        <v>1.4</v>
      </c>
      <c r="E15" s="26">
        <v>2.5</v>
      </c>
    </row>
    <row r="16" spans="1:5" ht="13.5" thickBot="1">
      <c r="A16" s="29">
        <v>1</v>
      </c>
      <c r="B16" s="29">
        <v>3.8</v>
      </c>
      <c r="C16" s="29">
        <v>1.1</v>
      </c>
      <c r="D16" s="29">
        <v>0.75</v>
      </c>
      <c r="E16" s="29">
        <v>1.8</v>
      </c>
    </row>
    <row r="17" spans="1:5" ht="12.75">
      <c r="A17" s="30" t="s">
        <v>210</v>
      </c>
      <c r="B17" s="31">
        <v>1.25</v>
      </c>
      <c r="C17" s="31">
        <v>1.58</v>
      </c>
      <c r="D17" s="31">
        <v>1.6</v>
      </c>
      <c r="E17" s="32">
        <v>2.15</v>
      </c>
    </row>
    <row r="18" spans="1:5" ht="13.5" thickBot="1">
      <c r="A18" s="33" t="s">
        <v>211</v>
      </c>
      <c r="B18" s="34">
        <v>1</v>
      </c>
      <c r="C18" s="34">
        <v>1</v>
      </c>
      <c r="D18" s="34">
        <v>1</v>
      </c>
      <c r="E18" s="35">
        <v>2</v>
      </c>
    </row>
    <row r="28" spans="1:13" ht="51">
      <c r="A28" s="4" t="s">
        <v>243</v>
      </c>
      <c r="B28" s="4" t="s">
        <v>32</v>
      </c>
      <c r="C28" s="4" t="s">
        <v>245</v>
      </c>
      <c r="D28" s="40" t="s">
        <v>45</v>
      </c>
      <c r="E28" s="4" t="s">
        <v>29</v>
      </c>
      <c r="F28" s="4" t="s">
        <v>36</v>
      </c>
      <c r="G28" s="40" t="s">
        <v>48</v>
      </c>
      <c r="H28" s="40" t="s">
        <v>30</v>
      </c>
      <c r="I28" s="40" t="s">
        <v>53</v>
      </c>
      <c r="J28" s="42" t="s">
        <v>248</v>
      </c>
      <c r="K28" s="1"/>
      <c r="L28" s="1"/>
      <c r="M28" s="1"/>
    </row>
    <row r="29" spans="1:13" ht="12.75">
      <c r="A29" s="6" t="s">
        <v>83</v>
      </c>
      <c r="B29" s="7" t="s">
        <v>35</v>
      </c>
      <c r="C29" s="7" t="s">
        <v>244</v>
      </c>
      <c r="D29" s="19" t="s">
        <v>255</v>
      </c>
      <c r="E29" s="41">
        <v>2</v>
      </c>
      <c r="F29" s="7" t="s">
        <v>269</v>
      </c>
      <c r="G29" s="19" t="s">
        <v>270</v>
      </c>
      <c r="H29" s="19" t="s">
        <v>271</v>
      </c>
      <c r="I29" s="19" t="s">
        <v>55</v>
      </c>
      <c r="J29" s="43" t="s">
        <v>249</v>
      </c>
      <c r="K29"/>
      <c r="L29"/>
      <c r="M29"/>
    </row>
    <row r="30" spans="1:13" ht="12.75">
      <c r="A30" s="6" t="s">
        <v>75</v>
      </c>
      <c r="B30" s="7" t="s">
        <v>35</v>
      </c>
      <c r="C30" s="7" t="s">
        <v>70</v>
      </c>
      <c r="D30" s="19" t="s">
        <v>277</v>
      </c>
      <c r="E30" s="41">
        <v>1.2</v>
      </c>
      <c r="F30" s="7" t="s">
        <v>276</v>
      </c>
      <c r="G30" s="19" t="s">
        <v>80</v>
      </c>
      <c r="H30" s="19" t="s">
        <v>340</v>
      </c>
      <c r="I30" s="19" t="s">
        <v>55</v>
      </c>
      <c r="J30" s="43" t="s">
        <v>251</v>
      </c>
      <c r="K30"/>
      <c r="L30"/>
      <c r="M30"/>
    </row>
    <row r="31" spans="1:13" ht="12.75">
      <c r="A31" s="6" t="s">
        <v>71</v>
      </c>
      <c r="B31" s="7" t="s">
        <v>35</v>
      </c>
      <c r="C31" s="7" t="s">
        <v>68</v>
      </c>
      <c r="D31" s="19" t="s">
        <v>277</v>
      </c>
      <c r="E31" s="41">
        <v>1.2</v>
      </c>
      <c r="F31" s="7" t="s">
        <v>37</v>
      </c>
      <c r="G31" s="19" t="s">
        <v>76</v>
      </c>
      <c r="H31" s="19" t="s">
        <v>339</v>
      </c>
      <c r="I31" s="19" t="s">
        <v>55</v>
      </c>
      <c r="J31" s="43" t="s">
        <v>268</v>
      </c>
      <c r="K31"/>
      <c r="L31"/>
      <c r="M31"/>
    </row>
    <row r="32" spans="1:13" ht="12.75">
      <c r="A32" s="6" t="s">
        <v>72</v>
      </c>
      <c r="B32" s="7" t="s">
        <v>35</v>
      </c>
      <c r="C32" s="7" t="s">
        <v>70</v>
      </c>
      <c r="D32" s="19" t="s">
        <v>277</v>
      </c>
      <c r="E32" s="41">
        <v>1.2</v>
      </c>
      <c r="F32" s="7" t="s">
        <v>37</v>
      </c>
      <c r="G32" s="19" t="s">
        <v>77</v>
      </c>
      <c r="H32" s="19" t="s">
        <v>341</v>
      </c>
      <c r="I32" s="19" t="s">
        <v>55</v>
      </c>
      <c r="J32" s="44"/>
      <c r="K32"/>
      <c r="L32"/>
      <c r="M32"/>
    </row>
    <row r="33" spans="1:13" s="1" customFormat="1" ht="12.75">
      <c r="A33" s="6" t="s">
        <v>73</v>
      </c>
      <c r="B33" s="7" t="s">
        <v>35</v>
      </c>
      <c r="C33" s="7" t="s">
        <v>70</v>
      </c>
      <c r="D33" s="19" t="s">
        <v>277</v>
      </c>
      <c r="E33" s="41">
        <v>1.2</v>
      </c>
      <c r="F33" s="7" t="s">
        <v>37</v>
      </c>
      <c r="G33" s="19" t="s">
        <v>78</v>
      </c>
      <c r="H33" s="19" t="s">
        <v>274</v>
      </c>
      <c r="I33" s="19" t="s">
        <v>55</v>
      </c>
      <c r="J33" s="44"/>
      <c r="K33"/>
      <c r="L33"/>
      <c r="M33"/>
    </row>
    <row r="34" spans="1:13" ht="12.75">
      <c r="A34" s="6" t="s">
        <v>74</v>
      </c>
      <c r="B34" s="7" t="s">
        <v>35</v>
      </c>
      <c r="C34" s="7" t="s">
        <v>70</v>
      </c>
      <c r="D34" s="19" t="s">
        <v>277</v>
      </c>
      <c r="E34" s="41">
        <v>1.2</v>
      </c>
      <c r="F34" s="7" t="s">
        <v>37</v>
      </c>
      <c r="G34" s="19" t="s">
        <v>79</v>
      </c>
      <c r="H34" s="19" t="s">
        <v>342</v>
      </c>
      <c r="I34" s="19" t="s">
        <v>55</v>
      </c>
      <c r="J34" s="45" t="s">
        <v>282</v>
      </c>
      <c r="K34"/>
      <c r="L34"/>
      <c r="M34"/>
    </row>
    <row r="35" spans="1:13" ht="12.75">
      <c r="A35" s="6" t="s">
        <v>263</v>
      </c>
      <c r="B35" s="7" t="s">
        <v>33</v>
      </c>
      <c r="C35" s="7" t="s">
        <v>43</v>
      </c>
      <c r="D35" s="19">
        <v>40</v>
      </c>
      <c r="E35" s="41">
        <v>1.5</v>
      </c>
      <c r="F35" s="7" t="s">
        <v>37</v>
      </c>
      <c r="G35" s="19" t="s">
        <v>49</v>
      </c>
      <c r="H35" s="19" t="s">
        <v>261</v>
      </c>
      <c r="I35" s="19" t="s">
        <v>54</v>
      </c>
      <c r="J35" s="44"/>
      <c r="K35"/>
      <c r="L35"/>
      <c r="M35"/>
    </row>
    <row r="36" spans="1:13" ht="12.75">
      <c r="A36" s="6" t="s">
        <v>40</v>
      </c>
      <c r="B36" s="7" t="s">
        <v>33</v>
      </c>
      <c r="C36" s="7" t="s">
        <v>42</v>
      </c>
      <c r="D36" s="19" t="s">
        <v>47</v>
      </c>
      <c r="E36" s="41">
        <v>1.45</v>
      </c>
      <c r="F36" s="7" t="s">
        <v>38</v>
      </c>
      <c r="G36" s="19" t="s">
        <v>52</v>
      </c>
      <c r="H36" s="19" t="s">
        <v>56</v>
      </c>
      <c r="I36" s="19" t="s">
        <v>55</v>
      </c>
      <c r="J36" s="44"/>
      <c r="K36"/>
      <c r="L36"/>
      <c r="M36"/>
    </row>
    <row r="37" spans="1:13" ht="12.75">
      <c r="A37" s="6" t="s">
        <v>61</v>
      </c>
      <c r="B37" s="7" t="s">
        <v>35</v>
      </c>
      <c r="C37" s="7" t="s">
        <v>44</v>
      </c>
      <c r="D37" s="19" t="s">
        <v>46</v>
      </c>
      <c r="E37" s="41">
        <v>7.2</v>
      </c>
      <c r="F37" s="7" t="s">
        <v>276</v>
      </c>
      <c r="G37" s="19" t="s">
        <v>66</v>
      </c>
      <c r="H37" s="19" t="s">
        <v>272</v>
      </c>
      <c r="I37" s="19" t="s">
        <v>55</v>
      </c>
      <c r="J37" s="43" t="s">
        <v>278</v>
      </c>
      <c r="K37"/>
      <c r="L37"/>
      <c r="M37"/>
    </row>
    <row r="38" spans="1:13" ht="12.75">
      <c r="A38" s="6" t="s">
        <v>58</v>
      </c>
      <c r="B38" s="7" t="s">
        <v>35</v>
      </c>
      <c r="C38" s="7" t="s">
        <v>44</v>
      </c>
      <c r="D38" s="19" t="s">
        <v>46</v>
      </c>
      <c r="E38" s="41">
        <v>1.2</v>
      </c>
      <c r="F38" s="7" t="s">
        <v>37</v>
      </c>
      <c r="G38" s="19" t="s">
        <v>63</v>
      </c>
      <c r="H38" s="19" t="s">
        <v>273</v>
      </c>
      <c r="I38" s="19" t="s">
        <v>55</v>
      </c>
      <c r="J38" s="44"/>
      <c r="K38"/>
      <c r="L38"/>
      <c r="M38"/>
    </row>
    <row r="39" spans="1:13" ht="12.75">
      <c r="A39" s="6" t="s">
        <v>57</v>
      </c>
      <c r="B39" s="7" t="s">
        <v>35</v>
      </c>
      <c r="C39" s="7" t="s">
        <v>44</v>
      </c>
      <c r="D39" s="19" t="s">
        <v>46</v>
      </c>
      <c r="E39" s="41">
        <v>1.2</v>
      </c>
      <c r="F39" s="7" t="s">
        <v>37</v>
      </c>
      <c r="G39" s="19" t="s">
        <v>62</v>
      </c>
      <c r="H39" s="19" t="s">
        <v>274</v>
      </c>
      <c r="I39" s="19" t="s">
        <v>55</v>
      </c>
      <c r="J39" s="44"/>
      <c r="K39"/>
      <c r="L39"/>
      <c r="M39"/>
    </row>
    <row r="40" spans="1:13" ht="12.75">
      <c r="A40" s="6" t="s">
        <v>59</v>
      </c>
      <c r="B40" s="7" t="s">
        <v>35</v>
      </c>
      <c r="C40" s="7" t="s">
        <v>44</v>
      </c>
      <c r="D40" s="19" t="s">
        <v>46</v>
      </c>
      <c r="E40" s="41">
        <v>1.2</v>
      </c>
      <c r="F40" s="7" t="s">
        <v>37</v>
      </c>
      <c r="G40" s="19" t="s">
        <v>64</v>
      </c>
      <c r="H40" s="19" t="s">
        <v>275</v>
      </c>
      <c r="I40" s="19" t="s">
        <v>55</v>
      </c>
      <c r="J40" s="44"/>
      <c r="K40"/>
      <c r="L40"/>
      <c r="M40"/>
    </row>
    <row r="41" spans="1:13" ht="12.75">
      <c r="A41" s="6" t="s">
        <v>60</v>
      </c>
      <c r="B41" s="7" t="s">
        <v>35</v>
      </c>
      <c r="C41" s="7" t="s">
        <v>44</v>
      </c>
      <c r="D41" s="19" t="s">
        <v>46</v>
      </c>
      <c r="E41" s="41">
        <v>1.2</v>
      </c>
      <c r="F41" s="7" t="s">
        <v>37</v>
      </c>
      <c r="G41" s="19" t="s">
        <v>65</v>
      </c>
      <c r="H41" s="19" t="s">
        <v>273</v>
      </c>
      <c r="I41" s="19" t="s">
        <v>55</v>
      </c>
      <c r="J41" s="44"/>
      <c r="K41"/>
      <c r="L41"/>
      <c r="M41"/>
    </row>
    <row r="42" spans="1:13" ht="12.75">
      <c r="A42" s="6" t="s">
        <v>39</v>
      </c>
      <c r="B42" s="7" t="s">
        <v>33</v>
      </c>
      <c r="C42" s="7" t="s">
        <v>42</v>
      </c>
      <c r="D42" s="19" t="s">
        <v>258</v>
      </c>
      <c r="E42" s="41">
        <v>3</v>
      </c>
      <c r="F42" s="7" t="s">
        <v>38</v>
      </c>
      <c r="G42" s="19" t="s">
        <v>259</v>
      </c>
      <c r="H42" s="19" t="s">
        <v>260</v>
      </c>
      <c r="I42" s="19" t="s">
        <v>55</v>
      </c>
      <c r="J42" s="43" t="s">
        <v>279</v>
      </c>
      <c r="K42"/>
      <c r="L42"/>
      <c r="M42"/>
    </row>
    <row r="43" spans="1:13" ht="12.75">
      <c r="A43" s="6" t="s">
        <v>31</v>
      </c>
      <c r="B43" s="7" t="s">
        <v>33</v>
      </c>
      <c r="C43" s="7" t="s">
        <v>43</v>
      </c>
      <c r="D43" s="19" t="s">
        <v>257</v>
      </c>
      <c r="E43" s="41">
        <v>1.5</v>
      </c>
      <c r="F43" s="7" t="s">
        <v>37</v>
      </c>
      <c r="G43" s="19" t="s">
        <v>250</v>
      </c>
      <c r="H43" s="19" t="s">
        <v>261</v>
      </c>
      <c r="I43" s="19" t="s">
        <v>54</v>
      </c>
      <c r="J43" s="44"/>
      <c r="K43"/>
      <c r="L43"/>
      <c r="M43"/>
    </row>
    <row r="44" spans="1:13" ht="12.75">
      <c r="A44" s="6" t="s">
        <v>34</v>
      </c>
      <c r="B44" s="7" t="s">
        <v>33</v>
      </c>
      <c r="C44" s="7" t="s">
        <v>42</v>
      </c>
      <c r="D44" s="19" t="s">
        <v>256</v>
      </c>
      <c r="E44" s="41">
        <v>1.5</v>
      </c>
      <c r="F44" s="7" t="s">
        <v>37</v>
      </c>
      <c r="G44" s="19" t="s">
        <v>246</v>
      </c>
      <c r="H44" s="19" t="s">
        <v>247</v>
      </c>
      <c r="I44" s="19" t="s">
        <v>54</v>
      </c>
      <c r="J44" s="44"/>
      <c r="K44"/>
      <c r="L44"/>
      <c r="M44"/>
    </row>
    <row r="45" spans="1:13" ht="12.75">
      <c r="A45" s="6" t="s">
        <v>262</v>
      </c>
      <c r="B45" s="7" t="s">
        <v>33</v>
      </c>
      <c r="C45" s="7" t="s">
        <v>42</v>
      </c>
      <c r="D45" s="19" t="s">
        <v>267</v>
      </c>
      <c r="E45" s="41">
        <v>1.35</v>
      </c>
      <c r="F45" s="7" t="s">
        <v>38</v>
      </c>
      <c r="G45" s="19" t="s">
        <v>50</v>
      </c>
      <c r="H45" s="19" t="s">
        <v>265</v>
      </c>
      <c r="I45" s="19" t="s">
        <v>55</v>
      </c>
      <c r="J45" s="44"/>
      <c r="K45"/>
      <c r="L45"/>
      <c r="M45"/>
    </row>
    <row r="46" spans="1:13" ht="12.75">
      <c r="A46" s="6" t="s">
        <v>41</v>
      </c>
      <c r="B46" s="7" t="s">
        <v>33</v>
      </c>
      <c r="C46" s="7" t="s">
        <v>42</v>
      </c>
      <c r="D46" s="19" t="s">
        <v>266</v>
      </c>
      <c r="E46" s="41">
        <v>1.6</v>
      </c>
      <c r="F46" s="7" t="s">
        <v>38</v>
      </c>
      <c r="G46" s="19" t="s">
        <v>51</v>
      </c>
      <c r="H46" s="19" t="s">
        <v>265</v>
      </c>
      <c r="I46" s="19" t="s">
        <v>55</v>
      </c>
      <c r="J46" s="44"/>
      <c r="K46"/>
      <c r="L46"/>
      <c r="M46"/>
    </row>
    <row r="47" spans="1:13" ht="12.75">
      <c r="A47" s="6" t="s">
        <v>69</v>
      </c>
      <c r="B47" s="7" t="s">
        <v>35</v>
      </c>
      <c r="C47" s="7" t="s">
        <v>70</v>
      </c>
      <c r="D47" s="19" t="s">
        <v>280</v>
      </c>
      <c r="E47" s="41">
        <v>3.6</v>
      </c>
      <c r="F47" s="7" t="s">
        <v>242</v>
      </c>
      <c r="G47" s="19" t="s">
        <v>65</v>
      </c>
      <c r="H47" s="19" t="s">
        <v>260</v>
      </c>
      <c r="I47" s="19" t="s">
        <v>55</v>
      </c>
      <c r="J47" s="44"/>
      <c r="K47"/>
      <c r="L47"/>
      <c r="M47"/>
    </row>
    <row r="48" spans="3:13" ht="12.75">
      <c r="C48"/>
      <c r="D48"/>
      <c r="E48"/>
      <c r="F48" s="2"/>
      <c r="G48" s="2"/>
      <c r="H48" s="2"/>
      <c r="I48" s="2"/>
      <c r="J48" s="44"/>
      <c r="K48"/>
      <c r="L48"/>
      <c r="M48"/>
    </row>
    <row r="49" spans="3:13" ht="12.75">
      <c r="C49"/>
      <c r="D49"/>
      <c r="E49"/>
      <c r="F49" s="2"/>
      <c r="G49" s="2"/>
      <c r="H49" s="2"/>
      <c r="I49" s="2"/>
      <c r="J49" s="44"/>
      <c r="K49"/>
      <c r="L49"/>
      <c r="M49"/>
    </row>
    <row r="50" spans="3:13" ht="12.75">
      <c r="C50"/>
      <c r="D50"/>
      <c r="E50"/>
      <c r="F50" s="2"/>
      <c r="G50" s="2"/>
      <c r="H50" s="2"/>
      <c r="I50" s="2"/>
      <c r="J50" s="44"/>
      <c r="K50"/>
      <c r="L50"/>
      <c r="M50"/>
    </row>
    <row r="51" spans="1:10" ht="12.75">
      <c r="A51" s="26" t="s">
        <v>214</v>
      </c>
      <c r="B51" s="26" t="s">
        <v>82</v>
      </c>
      <c r="C51" s="26" t="s">
        <v>34</v>
      </c>
      <c r="D51" s="26" t="s">
        <v>212</v>
      </c>
      <c r="E51" s="26" t="s">
        <v>83</v>
      </c>
      <c r="F51" s="26" t="s">
        <v>216</v>
      </c>
      <c r="G51" s="26" t="s">
        <v>217</v>
      </c>
      <c r="J51" s="44"/>
    </row>
    <row r="52" spans="1:10" ht="12.75">
      <c r="A52" s="26" t="s">
        <v>254</v>
      </c>
      <c r="B52" s="26">
        <v>15.4</v>
      </c>
      <c r="C52" s="26">
        <v>12.2</v>
      </c>
      <c r="D52" s="26">
        <v>7.3</v>
      </c>
      <c r="E52" s="26">
        <v>13</v>
      </c>
      <c r="F52" s="36" t="s">
        <v>252</v>
      </c>
      <c r="G52" s="36" t="s">
        <v>253</v>
      </c>
      <c r="J52" s="44"/>
    </row>
    <row r="53" spans="1:10" ht="12.75">
      <c r="A53" s="26" t="s">
        <v>215</v>
      </c>
      <c r="B53" s="26">
        <v>0.11</v>
      </c>
      <c r="C53" s="26">
        <v>0.08</v>
      </c>
      <c r="D53" s="26">
        <v>0.03</v>
      </c>
      <c r="E53" s="26">
        <v>0.11</v>
      </c>
      <c r="F53" s="36" t="s">
        <v>218</v>
      </c>
      <c r="G53" s="36" t="s">
        <v>219</v>
      </c>
      <c r="J53" s="44"/>
    </row>
    <row r="54" ht="12.75">
      <c r="J54" s="44"/>
    </row>
    <row r="55" spans="1:13" ht="51">
      <c r="A55" s="37" t="s">
        <v>220</v>
      </c>
      <c r="B55" s="4" t="s">
        <v>221</v>
      </c>
      <c r="C55" s="5" t="s">
        <v>222</v>
      </c>
      <c r="D55" s="5" t="s">
        <v>223</v>
      </c>
      <c r="E55" s="5" t="s">
        <v>264</v>
      </c>
      <c r="F55" s="5" t="s">
        <v>234</v>
      </c>
      <c r="G55" s="5" t="s">
        <v>235</v>
      </c>
      <c r="H55" s="5" t="s">
        <v>236</v>
      </c>
      <c r="I55" s="5" t="s">
        <v>237</v>
      </c>
      <c r="J55" s="5" t="s">
        <v>238</v>
      </c>
      <c r="K55" s="5" t="s">
        <v>239</v>
      </c>
      <c r="L55" s="5" t="s">
        <v>240</v>
      </c>
      <c r="M55" s="5" t="s">
        <v>241</v>
      </c>
    </row>
    <row r="56" spans="1:13" ht="12.75">
      <c r="A56" s="38" t="s">
        <v>224</v>
      </c>
      <c r="B56" s="39" t="s">
        <v>229</v>
      </c>
      <c r="C56" s="7">
        <v>3.3</v>
      </c>
      <c r="D56" s="7">
        <v>0.067</v>
      </c>
      <c r="E56" s="7">
        <v>10</v>
      </c>
      <c r="F56" s="7">
        <v>12</v>
      </c>
      <c r="G56" s="7">
        <v>10</v>
      </c>
      <c r="H56" s="7"/>
      <c r="I56" s="7">
        <v>0.06</v>
      </c>
      <c r="J56" s="7">
        <v>0.3</v>
      </c>
      <c r="K56" s="7">
        <v>0.46</v>
      </c>
      <c r="L56" s="7"/>
      <c r="M56" s="7"/>
    </row>
    <row r="57" spans="1:13" ht="12.75">
      <c r="A57" s="38" t="s">
        <v>225</v>
      </c>
      <c r="B57" s="39" t="s">
        <v>230</v>
      </c>
      <c r="C57" s="7">
        <v>7.2</v>
      </c>
      <c r="D57" s="7">
        <v>0.15</v>
      </c>
      <c r="E57" s="7">
        <v>22</v>
      </c>
      <c r="F57" s="7">
        <v>22</v>
      </c>
      <c r="G57" s="7">
        <v>18</v>
      </c>
      <c r="H57" s="7"/>
      <c r="I57" s="7">
        <v>0.04</v>
      </c>
      <c r="J57" s="7">
        <v>0.24</v>
      </c>
      <c r="K57" s="7">
        <v>0.41</v>
      </c>
      <c r="L57" s="7"/>
      <c r="M57" s="7"/>
    </row>
    <row r="58" spans="1:13" ht="12.75">
      <c r="A58" s="38" t="s">
        <v>226</v>
      </c>
      <c r="B58" s="39" t="s">
        <v>231</v>
      </c>
      <c r="C58" s="7">
        <v>23</v>
      </c>
      <c r="D58" s="7">
        <v>0.47</v>
      </c>
      <c r="E58" s="7">
        <v>52</v>
      </c>
      <c r="F58" s="7">
        <v>66</v>
      </c>
      <c r="G58" s="7">
        <v>48</v>
      </c>
      <c r="H58" s="7"/>
      <c r="I58" s="7">
        <v>0.05</v>
      </c>
      <c r="J58" s="7">
        <v>0.18</v>
      </c>
      <c r="K58" s="7">
        <v>0.26</v>
      </c>
      <c r="L58" s="7"/>
      <c r="M58" s="7">
        <v>0.3</v>
      </c>
    </row>
    <row r="59" spans="1:13" ht="12.75">
      <c r="A59" s="38" t="s">
        <v>227</v>
      </c>
      <c r="B59" s="39" t="s">
        <v>232</v>
      </c>
      <c r="C59" s="7">
        <v>49</v>
      </c>
      <c r="D59" s="7">
        <v>1</v>
      </c>
      <c r="E59" s="7">
        <v>158</v>
      </c>
      <c r="F59" s="7">
        <v>142</v>
      </c>
      <c r="G59" s="7">
        <v>102</v>
      </c>
      <c r="H59" s="7">
        <v>180</v>
      </c>
      <c r="I59" s="7">
        <v>0.04</v>
      </c>
      <c r="J59" s="7">
        <v>0.12</v>
      </c>
      <c r="K59" s="7">
        <v>0.2</v>
      </c>
      <c r="L59" s="7">
        <v>0.03</v>
      </c>
      <c r="M59" s="7"/>
    </row>
    <row r="60" spans="1:13" ht="12.75">
      <c r="A60" s="38" t="s">
        <v>228</v>
      </c>
      <c r="B60" s="39" t="s">
        <v>233</v>
      </c>
      <c r="C60" s="7">
        <v>8.75</v>
      </c>
      <c r="D60" s="7">
        <v>0.06</v>
      </c>
      <c r="E60" s="7">
        <v>36</v>
      </c>
      <c r="F60" s="7">
        <v>46</v>
      </c>
      <c r="G60" s="7">
        <v>38</v>
      </c>
      <c r="H60" s="7"/>
      <c r="I60" s="7">
        <v>1.5</v>
      </c>
      <c r="J60" s="7">
        <v>2.6</v>
      </c>
      <c r="K60" s="7">
        <v>8</v>
      </c>
      <c r="L60" s="7"/>
      <c r="M60" s="7"/>
    </row>
    <row r="62" ht="13.5" thickBot="1"/>
    <row r="63" spans="1:14" s="1" customFormat="1" ht="38.25">
      <c r="A63" s="64" t="s">
        <v>302</v>
      </c>
      <c r="B63" s="57" t="s">
        <v>303</v>
      </c>
      <c r="C63" s="57" t="s">
        <v>304</v>
      </c>
      <c r="D63" s="57" t="s">
        <v>305</v>
      </c>
      <c r="E63" s="57" t="s">
        <v>306</v>
      </c>
      <c r="F63" s="58" t="s">
        <v>307</v>
      </c>
      <c r="G63" s="28"/>
      <c r="H63" s="28"/>
      <c r="I63" s="28"/>
      <c r="J63" s="28"/>
      <c r="K63" s="28"/>
      <c r="L63" s="28"/>
      <c r="M63" s="28"/>
      <c r="N63" s="28"/>
    </row>
    <row r="64" spans="1:14" s="1" customFormat="1" ht="12.75">
      <c r="A64" s="59" t="s">
        <v>308</v>
      </c>
      <c r="B64" s="22" t="s">
        <v>322</v>
      </c>
      <c r="C64" s="22" t="s">
        <v>322</v>
      </c>
      <c r="D64" s="22"/>
      <c r="E64" s="22"/>
      <c r="F64" s="60"/>
      <c r="G64" s="28"/>
      <c r="H64" s="28"/>
      <c r="I64" s="28"/>
      <c r="J64" s="28"/>
      <c r="K64" s="28"/>
      <c r="L64" s="28"/>
      <c r="M64" s="28"/>
      <c r="N64" s="28"/>
    </row>
    <row r="65" spans="1:14" s="1" customFormat="1" ht="12.75">
      <c r="A65" s="59" t="s">
        <v>309</v>
      </c>
      <c r="B65" s="22" t="s">
        <v>321</v>
      </c>
      <c r="C65" s="22" t="s">
        <v>321</v>
      </c>
      <c r="D65" s="22"/>
      <c r="E65" s="22"/>
      <c r="F65" s="60"/>
      <c r="G65" s="28"/>
      <c r="H65" s="28"/>
      <c r="I65" s="28"/>
      <c r="J65" s="28"/>
      <c r="K65" s="28"/>
      <c r="L65" s="28"/>
      <c r="M65" s="28"/>
      <c r="N65" s="28"/>
    </row>
    <row r="66" spans="1:14" s="1" customFormat="1" ht="12.75">
      <c r="A66" s="59" t="s">
        <v>310</v>
      </c>
      <c r="B66" s="22" t="s">
        <v>321</v>
      </c>
      <c r="C66" s="22" t="s">
        <v>321</v>
      </c>
      <c r="D66" s="22"/>
      <c r="E66" s="22"/>
      <c r="F66" s="60" t="s">
        <v>322</v>
      </c>
      <c r="G66" s="28"/>
      <c r="H66" s="28"/>
      <c r="I66" s="28"/>
      <c r="J66" s="28"/>
      <c r="K66" s="28"/>
      <c r="L66" s="28"/>
      <c r="M66" s="28"/>
      <c r="N66" s="28"/>
    </row>
    <row r="67" spans="1:14" s="1" customFormat="1" ht="25.5">
      <c r="A67" s="59" t="s">
        <v>311</v>
      </c>
      <c r="B67" s="22"/>
      <c r="C67" s="22"/>
      <c r="D67" s="22" t="s">
        <v>322</v>
      </c>
      <c r="E67" s="22" t="s">
        <v>322</v>
      </c>
      <c r="F67" s="60" t="s">
        <v>321</v>
      </c>
      <c r="G67" s="28"/>
      <c r="H67" s="28"/>
      <c r="I67" s="28"/>
      <c r="J67" s="28"/>
      <c r="K67" s="28"/>
      <c r="L67" s="28"/>
      <c r="M67" s="28"/>
      <c r="N67" s="28"/>
    </row>
    <row r="68" spans="1:14" s="1" customFormat="1" ht="25.5">
      <c r="A68" s="59" t="s">
        <v>312</v>
      </c>
      <c r="B68" s="22"/>
      <c r="C68" s="22"/>
      <c r="D68" s="22" t="s">
        <v>321</v>
      </c>
      <c r="E68" s="22" t="s">
        <v>321</v>
      </c>
      <c r="F68" s="60" t="s">
        <v>321</v>
      </c>
      <c r="G68" s="28"/>
      <c r="H68" s="28"/>
      <c r="I68" s="28"/>
      <c r="J68" s="28"/>
      <c r="K68" s="28"/>
      <c r="L68" s="28"/>
      <c r="M68" s="28"/>
      <c r="N68" s="28"/>
    </row>
    <row r="69" spans="1:14" s="1" customFormat="1" ht="25.5">
      <c r="A69" s="59" t="s">
        <v>313</v>
      </c>
      <c r="B69" s="22" t="s">
        <v>321</v>
      </c>
      <c r="C69" s="22"/>
      <c r="D69" s="22"/>
      <c r="E69" s="22"/>
      <c r="F69" s="60" t="s">
        <v>321</v>
      </c>
      <c r="G69" s="28"/>
      <c r="H69" s="28"/>
      <c r="I69" s="28"/>
      <c r="J69" s="28"/>
      <c r="K69" s="28"/>
      <c r="L69" s="28"/>
      <c r="M69" s="28"/>
      <c r="N69" s="28"/>
    </row>
    <row r="70" spans="1:14" s="1" customFormat="1" ht="25.5">
      <c r="A70" s="59" t="s">
        <v>314</v>
      </c>
      <c r="B70" s="22" t="s">
        <v>321</v>
      </c>
      <c r="C70" s="22" t="s">
        <v>321</v>
      </c>
      <c r="D70" s="22"/>
      <c r="E70" s="22"/>
      <c r="F70" s="60" t="s">
        <v>321</v>
      </c>
      <c r="G70" s="28"/>
      <c r="H70" s="28"/>
      <c r="I70" s="28"/>
      <c r="J70" s="28"/>
      <c r="K70" s="28"/>
      <c r="L70" s="28"/>
      <c r="M70" s="28"/>
      <c r="N70" s="28"/>
    </row>
    <row r="71" spans="1:14" s="1" customFormat="1" ht="12.75">
      <c r="A71" s="59" t="s">
        <v>315</v>
      </c>
      <c r="B71" s="22"/>
      <c r="C71" s="22"/>
      <c r="D71" s="22"/>
      <c r="E71" s="22"/>
      <c r="F71" s="60" t="s">
        <v>321</v>
      </c>
      <c r="G71" s="28"/>
      <c r="H71" s="28"/>
      <c r="I71" s="28"/>
      <c r="J71" s="28"/>
      <c r="K71" s="28"/>
      <c r="L71" s="28"/>
      <c r="M71" s="28"/>
      <c r="N71" s="28"/>
    </row>
    <row r="72" spans="1:14" s="14" customFormat="1" ht="13.5" thickBot="1">
      <c r="A72" s="61" t="s">
        <v>323</v>
      </c>
      <c r="B72" s="62"/>
      <c r="C72" s="62"/>
      <c r="D72" s="62" t="s">
        <v>321</v>
      </c>
      <c r="E72" s="62" t="s">
        <v>321</v>
      </c>
      <c r="F72" s="63" t="s">
        <v>321</v>
      </c>
      <c r="G72" s="55"/>
      <c r="H72" s="55"/>
      <c r="I72" s="55"/>
      <c r="J72" s="55"/>
      <c r="K72" s="55"/>
      <c r="L72" s="55"/>
      <c r="M72" s="55"/>
      <c r="N72" s="55"/>
    </row>
    <row r="73" spans="1:14" s="1" customFormat="1" ht="12.75">
      <c r="A73" s="56" t="s">
        <v>316</v>
      </c>
      <c r="B73" s="57"/>
      <c r="C73" s="57"/>
      <c r="D73" s="57"/>
      <c r="E73" s="57"/>
      <c r="F73" s="58"/>
      <c r="G73" s="28"/>
      <c r="H73" s="28"/>
      <c r="I73" s="28"/>
      <c r="J73" s="28"/>
      <c r="K73" s="28"/>
      <c r="L73" s="28"/>
      <c r="M73" s="28"/>
      <c r="N73" s="28"/>
    </row>
    <row r="74" spans="1:14" s="1" customFormat="1" ht="12.75">
      <c r="A74" s="59" t="s">
        <v>317</v>
      </c>
      <c r="B74" s="22" t="s">
        <v>321</v>
      </c>
      <c r="C74" s="22"/>
      <c r="D74" s="22"/>
      <c r="E74" s="22"/>
      <c r="F74" s="60"/>
      <c r="G74" s="28"/>
      <c r="H74" s="28"/>
      <c r="I74" s="28"/>
      <c r="J74" s="28"/>
      <c r="K74" s="28"/>
      <c r="L74" s="28"/>
      <c r="M74" s="28"/>
      <c r="N74" s="28"/>
    </row>
    <row r="75" spans="1:14" s="1" customFormat="1" ht="25.5">
      <c r="A75" s="59" t="s">
        <v>318</v>
      </c>
      <c r="B75" s="22"/>
      <c r="C75" s="22" t="s">
        <v>321</v>
      </c>
      <c r="D75" s="22" t="s">
        <v>321</v>
      </c>
      <c r="E75" s="22" t="s">
        <v>321</v>
      </c>
      <c r="F75" s="60" t="s">
        <v>321</v>
      </c>
      <c r="G75" s="28"/>
      <c r="H75" s="28"/>
      <c r="I75" s="28"/>
      <c r="J75" s="28"/>
      <c r="K75" s="28"/>
      <c r="L75" s="28"/>
      <c r="M75" s="28"/>
      <c r="N75" s="28"/>
    </row>
    <row r="76" spans="1:14" s="1" customFormat="1" ht="25.5">
      <c r="A76" s="59" t="s">
        <v>319</v>
      </c>
      <c r="B76" s="22" t="s">
        <v>321</v>
      </c>
      <c r="C76" s="22"/>
      <c r="D76" s="22"/>
      <c r="E76" s="22"/>
      <c r="F76" s="60" t="s">
        <v>321</v>
      </c>
      <c r="G76" s="28"/>
      <c r="H76" s="28"/>
      <c r="I76" s="28"/>
      <c r="J76" s="28"/>
      <c r="K76" s="28"/>
      <c r="L76" s="28"/>
      <c r="M76" s="28"/>
      <c r="N76" s="28"/>
    </row>
    <row r="77" spans="1:14" s="1" customFormat="1" ht="26.25" thickBot="1">
      <c r="A77" s="61" t="s">
        <v>320</v>
      </c>
      <c r="B77" s="62"/>
      <c r="C77" s="62"/>
      <c r="D77" s="62"/>
      <c r="E77" s="62"/>
      <c r="F77" s="63" t="s">
        <v>321</v>
      </c>
      <c r="G77" s="28"/>
      <c r="H77" s="28"/>
      <c r="I77" s="28"/>
      <c r="J77" s="28"/>
      <c r="K77" s="28"/>
      <c r="L77" s="28"/>
      <c r="M77" s="28"/>
      <c r="N77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31" sqref="F31"/>
    </sheetView>
  </sheetViews>
  <sheetFormatPr defaultColWidth="9.140625" defaultRowHeight="12.75"/>
  <cols>
    <col min="1" max="1" width="12.421875" style="21" bestFit="1" customWidth="1"/>
    <col min="2" max="2" width="12.421875" style="0" customWidth="1"/>
    <col min="3" max="3" width="10.28125" style="48" customWidth="1"/>
    <col min="4" max="4" width="9.140625" style="48" customWidth="1"/>
  </cols>
  <sheetData>
    <row r="1" spans="1:4" s="1" customFormat="1" ht="38.25">
      <c r="A1" s="46" t="s">
        <v>288</v>
      </c>
      <c r="B1" s="5" t="s">
        <v>294</v>
      </c>
      <c r="C1" s="22" t="s">
        <v>289</v>
      </c>
      <c r="D1" s="47"/>
    </row>
    <row r="2" spans="1:4" s="1" customFormat="1" ht="12.75">
      <c r="A2" s="46" t="s">
        <v>293</v>
      </c>
      <c r="B2" s="5">
        <v>0.33</v>
      </c>
      <c r="C2" s="22">
        <v>164.1</v>
      </c>
      <c r="D2" s="47"/>
    </row>
    <row r="3" spans="1:4" s="1" customFormat="1" ht="12.75">
      <c r="A3" s="46" t="s">
        <v>292</v>
      </c>
      <c r="B3" s="5">
        <v>0.9</v>
      </c>
      <c r="C3" s="22">
        <v>64.9</v>
      </c>
      <c r="D3" s="47"/>
    </row>
    <row r="4" spans="1:4" s="1" customFormat="1" ht="12.75">
      <c r="A4" s="46" t="s">
        <v>291</v>
      </c>
      <c r="B4" s="5">
        <v>2.5</v>
      </c>
      <c r="C4" s="22">
        <v>25.67</v>
      </c>
      <c r="D4" s="47"/>
    </row>
    <row r="5" spans="1:4" s="1" customFormat="1" ht="12.75">
      <c r="A5" s="46" t="s">
        <v>290</v>
      </c>
      <c r="B5" s="5">
        <v>3</v>
      </c>
      <c r="C5" s="22">
        <v>16.14</v>
      </c>
      <c r="D5" s="47"/>
    </row>
    <row r="6" spans="1:3" ht="12.75">
      <c r="A6" s="19">
        <v>20</v>
      </c>
      <c r="B6" s="20">
        <v>7</v>
      </c>
      <c r="C6" s="23">
        <v>10.15</v>
      </c>
    </row>
    <row r="7" spans="1:3" ht="12.75">
      <c r="A7" s="19">
        <v>18</v>
      </c>
      <c r="B7" s="20">
        <v>10</v>
      </c>
      <c r="C7" s="23">
        <v>6.39</v>
      </c>
    </row>
    <row r="8" spans="1:3" ht="12.75">
      <c r="A8" s="19">
        <v>16</v>
      </c>
      <c r="B8" s="20">
        <v>12</v>
      </c>
      <c r="C8" s="23">
        <v>4.01</v>
      </c>
    </row>
    <row r="9" spans="1:3" ht="12.75">
      <c r="A9" s="19">
        <v>14</v>
      </c>
      <c r="B9" s="7">
        <v>22</v>
      </c>
      <c r="C9" s="23">
        <v>2.53</v>
      </c>
    </row>
    <row r="10" spans="1:3" ht="12.75">
      <c r="A10" s="19">
        <v>12</v>
      </c>
      <c r="B10" s="7">
        <v>30</v>
      </c>
      <c r="C10" s="23">
        <v>1.59</v>
      </c>
    </row>
    <row r="11" spans="1:3" ht="12.75">
      <c r="A11" s="19">
        <v>10</v>
      </c>
      <c r="B11" s="7">
        <v>40</v>
      </c>
      <c r="C11" s="23">
        <v>0.999</v>
      </c>
    </row>
    <row r="12" spans="1:3" ht="12.75">
      <c r="A12" s="19">
        <v>8</v>
      </c>
      <c r="B12" s="7">
        <v>55</v>
      </c>
      <c r="C12" s="23">
        <v>0.628</v>
      </c>
    </row>
    <row r="13" spans="1:3" ht="12.75">
      <c r="A13" s="19">
        <v>6</v>
      </c>
      <c r="B13" s="7">
        <v>75</v>
      </c>
      <c r="C13" s="23">
        <v>0.395</v>
      </c>
    </row>
    <row r="14" spans="1:3" ht="12.75">
      <c r="A14" s="19">
        <v>4</v>
      </c>
      <c r="B14" s="7">
        <v>95</v>
      </c>
      <c r="C14" s="23">
        <v>0.249</v>
      </c>
    </row>
    <row r="15" spans="1:3" ht="12.75">
      <c r="A15" s="19">
        <v>2</v>
      </c>
      <c r="B15" s="7">
        <v>130</v>
      </c>
      <c r="C15" s="23">
        <v>0.156</v>
      </c>
    </row>
    <row r="16" spans="1:3" ht="12.75">
      <c r="A16" s="19" t="s">
        <v>117</v>
      </c>
      <c r="B16" s="7">
        <v>150</v>
      </c>
      <c r="C16" s="23">
        <v>0.124</v>
      </c>
    </row>
    <row r="17" spans="1:3" ht="12.75">
      <c r="A17" s="19" t="s">
        <v>114</v>
      </c>
      <c r="B17" s="20">
        <v>170</v>
      </c>
      <c r="C17" s="23">
        <v>0.098</v>
      </c>
    </row>
    <row r="18" spans="1:3" ht="12.75">
      <c r="A18" s="19" t="s">
        <v>115</v>
      </c>
      <c r="B18" s="20">
        <v>265</v>
      </c>
      <c r="C18" s="23">
        <v>0.078</v>
      </c>
    </row>
    <row r="19" spans="1:3" ht="12.75">
      <c r="A19" s="19" t="s">
        <v>116</v>
      </c>
      <c r="B19" s="20">
        <v>360</v>
      </c>
      <c r="C19" s="23">
        <v>0.049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a024728</dc:creator>
  <cp:keywords/>
  <dc:description/>
  <cp:lastModifiedBy>a024728</cp:lastModifiedBy>
  <cp:lastPrinted>2006-01-26T02:14:28Z</cp:lastPrinted>
  <dcterms:created xsi:type="dcterms:W3CDTF">2006-01-16T19:10:51Z</dcterms:created>
  <dcterms:modified xsi:type="dcterms:W3CDTF">2006-03-16T17:41:19Z</dcterms:modified>
  <cp:category/>
  <cp:version/>
  <cp:contentType/>
  <cp:contentStatus/>
</cp:coreProperties>
</file>